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naughton\Desktop\"/>
    </mc:Choice>
  </mc:AlternateContent>
  <bookViews>
    <workbookView xWindow="0" yWindow="0" windowWidth="19180" windowHeight="6980" firstSheet="29" activeTab="34"/>
  </bookViews>
  <sheets>
    <sheet name="1-Mission Supt" sheetId="10" r:id="rId1"/>
    <sheet name="1.1-C2S" sheetId="14" r:id="rId2"/>
    <sheet name="1.2-Weapons" sheetId="15" r:id="rId3"/>
    <sheet name="1.3-Aviation" sheetId="16" r:id="rId4"/>
    <sheet name="1.9-SArms &amp; Pyro" sheetId="17" r:id="rId5"/>
    <sheet name="2-Human Supt" sheetId="11" r:id="rId6"/>
    <sheet name="2-Human Supt (2)" sheetId="36" r:id="rId7"/>
    <sheet name="2.1-Living" sheetId="18" r:id="rId8"/>
    <sheet name="2.1-Living (2)" sheetId="37" r:id="rId9"/>
    <sheet name="2.2-Commissary" sheetId="19" r:id="rId10"/>
    <sheet name="2.2-Commissary (2)" sheetId="38" r:id="rId11"/>
    <sheet name="2.3-Med &amp; Dental" sheetId="20" r:id="rId12"/>
    <sheet name="2.3-Med &amp; Dental (2)" sheetId="39" r:id="rId13"/>
    <sheet name="2.4-General Services" sheetId="21" r:id="rId14"/>
    <sheet name="2.4-General Services (2)" sheetId="40" r:id="rId15"/>
    <sheet name="2.5-Personnel Stores" sheetId="22" r:id="rId16"/>
    <sheet name="2.5-Personnel Stores (2)" sheetId="41" r:id="rId17"/>
    <sheet name="2.6-CBR Protection" sheetId="23" r:id="rId18"/>
    <sheet name="2.6-CBR Protection (2)" sheetId="42" r:id="rId19"/>
    <sheet name="3-Ship Supt" sheetId="12" r:id="rId20"/>
    <sheet name="3.1-Steering" sheetId="24" r:id="rId21"/>
    <sheet name="3.2-Dmg Cntrl" sheetId="25" r:id="rId22"/>
    <sheet name="3.3-Ship Admin" sheetId="26" r:id="rId23"/>
    <sheet name="3.5-Deck Aux" sheetId="27" r:id="rId24"/>
    <sheet name="3.6-Ship Mnt" sheetId="28" r:id="rId25"/>
    <sheet name="3.7-Stowage" sheetId="29" r:id="rId26"/>
    <sheet name="3.8-Access" sheetId="30" r:id="rId27"/>
    <sheet name="3.9-Tanks" sheetId="31" r:id="rId28"/>
    <sheet name="4-Ship Machy System" sheetId="13" r:id="rId29"/>
    <sheet name="4.1-Propulsion" sheetId="32" r:id="rId30"/>
    <sheet name="4.2-Propulsor &amp; Trans" sheetId="33" r:id="rId31"/>
    <sheet name="4.3-Aux Machy" sheetId="34" r:id="rId32"/>
    <sheet name="Areas" sheetId="6" r:id="rId33"/>
    <sheet name="USCG Summary" sheetId="35" r:id="rId34"/>
    <sheet name="Flt III" sheetId="5" r:id="rId35"/>
    <sheet name="Flt IIa" sheetId="7" r:id="rId36"/>
    <sheet name="OPC Des" sheetId="8" r:id="rId37"/>
    <sheet name="LCS 5" sheetId="9" r:id="rId38"/>
    <sheet name="Comp" sheetId="3" r:id="rId39"/>
    <sheet name="Blk 1" sheetId="1" r:id="rId40"/>
    <sheet name="Future" sheetId="2" r:id="rId41"/>
  </sheets>
  <externalReferences>
    <externalReference r:id="rId42"/>
    <externalReference r:id="rId43"/>
    <externalReference r:id="rId44"/>
    <externalReference r:id="rId45"/>
  </externalReferences>
  <definedNames>
    <definedName name="_xlnm._FilterDatabase" localSheetId="35" hidden="1">'Flt IIa'!$A$2:$J$520</definedName>
    <definedName name="_xlnm._FilterDatabase" localSheetId="37" hidden="1">'LCS 5'!$A$1:$G$362</definedName>
    <definedName name="AccessDatabase" hidden="1">"S:\DEPT14\ejc14\DDG FLIIA\PES Upgrades\Weight\DDG81.mdb"</definedName>
    <definedName name="Areas_and_Volumes_Flt_IIA__BIW__Query">'[1]Comp''t Name Sort'!#REF!</definedName>
    <definedName name="Button_11">"DDG81_100_List"</definedName>
    <definedName name="CORV">[2]Comparison!$B$32</definedName>
    <definedName name="current_wt">#REF!</definedName>
    <definedName name="DDG81_100_List" localSheetId="36">#REF!</definedName>
    <definedName name="DDG81_100_List">#REF!</definedName>
    <definedName name="FFG">[2]Comparison!$B$30</definedName>
    <definedName name="m2ft" localSheetId="36">#REF!</definedName>
    <definedName name="m2ft">'[3]Group 1'!$P$3</definedName>
    <definedName name="NSC">[2]Comparison!$B$35</definedName>
    <definedName name="_xlnm.Print_Area" localSheetId="37">'LCS 5'!$A$1:$G$363</definedName>
    <definedName name="_xlnm.Print_Area" localSheetId="36">'OPC Des'!$A$1:$K$377</definedName>
    <definedName name="_xlnm.Print_Titles" localSheetId="34">'Flt III'!$1:$1</definedName>
    <definedName name="_xlnm.Print_Titles" localSheetId="37">'LCS 5'!$1:$1</definedName>
    <definedName name="_xlnm.Print_Titles" localSheetId="36">'OPC Des'!$1:$6</definedName>
    <definedName name="x">#REF!</definedName>
    <definedName name="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2" i="1" l="1"/>
  <c r="C444" i="1"/>
  <c r="C444" i="2"/>
  <c r="C72" i="2"/>
  <c r="C63" i="2"/>
  <c r="C54" i="2"/>
  <c r="C45" i="2"/>
  <c r="C40" i="2"/>
  <c r="C35" i="2"/>
  <c r="C30" i="2"/>
  <c r="G488" i="6" l="1"/>
  <c r="H488" i="6"/>
  <c r="I488" i="6"/>
  <c r="J488" i="6"/>
  <c r="K488" i="6"/>
  <c r="L488" i="6"/>
  <c r="M488" i="6"/>
  <c r="N488" i="6"/>
  <c r="O488" i="6"/>
  <c r="X489" i="6"/>
  <c r="Y489" i="6"/>
  <c r="Z489" i="6"/>
  <c r="AA489" i="6"/>
  <c r="AB489" i="6"/>
  <c r="AC489" i="6"/>
  <c r="AD489" i="6"/>
  <c r="AE489" i="6"/>
  <c r="O489" i="6" s="1"/>
  <c r="X490" i="6"/>
  <c r="Y490" i="6"/>
  <c r="Z490" i="6"/>
  <c r="AA490" i="6"/>
  <c r="AB490" i="6"/>
  <c r="AC490" i="6"/>
  <c r="AD490" i="6"/>
  <c r="AE490" i="6"/>
  <c r="X491" i="6"/>
  <c r="Y491" i="6"/>
  <c r="Z491" i="6"/>
  <c r="AA491" i="6"/>
  <c r="AB491" i="6"/>
  <c r="AC491" i="6"/>
  <c r="AD491" i="6"/>
  <c r="AE491" i="6"/>
  <c r="X492" i="6"/>
  <c r="Y492" i="6"/>
  <c r="Z492" i="6"/>
  <c r="AA492" i="6"/>
  <c r="AB492" i="6"/>
  <c r="AC492" i="6"/>
  <c r="AD492" i="6"/>
  <c r="AE492" i="6"/>
  <c r="X493" i="6"/>
  <c r="Y493" i="6"/>
  <c r="Z493" i="6"/>
  <c r="AA493" i="6"/>
  <c r="AB493" i="6"/>
  <c r="AC493" i="6"/>
  <c r="AD493" i="6"/>
  <c r="AE493" i="6"/>
  <c r="X494" i="6"/>
  <c r="Y494" i="6"/>
  <c r="Z494" i="6"/>
  <c r="AA494" i="6"/>
  <c r="AB494" i="6"/>
  <c r="AC494" i="6"/>
  <c r="AD494" i="6"/>
  <c r="AE494" i="6"/>
  <c r="X495" i="6"/>
  <c r="Y495" i="6"/>
  <c r="Z495" i="6"/>
  <c r="AA495" i="6"/>
  <c r="AB495" i="6"/>
  <c r="AC495" i="6"/>
  <c r="AD495" i="6"/>
  <c r="AE495" i="6"/>
  <c r="X496" i="6"/>
  <c r="Y496" i="6"/>
  <c r="Z496" i="6"/>
  <c r="AA496" i="6"/>
  <c r="AB496" i="6"/>
  <c r="AC496" i="6"/>
  <c r="AD496" i="6"/>
  <c r="AE496" i="6"/>
  <c r="X497" i="6"/>
  <c r="Y497" i="6"/>
  <c r="Z497" i="6"/>
  <c r="AA497" i="6"/>
  <c r="AB497" i="6"/>
  <c r="AC497" i="6"/>
  <c r="AD497" i="6"/>
  <c r="AE497" i="6"/>
  <c r="X498" i="6"/>
  <c r="Y498" i="6"/>
  <c r="Z498" i="6"/>
  <c r="AA498" i="6"/>
  <c r="AB498" i="6"/>
  <c r="AC498" i="6"/>
  <c r="AD498" i="6"/>
  <c r="AE498" i="6"/>
  <c r="X499" i="6"/>
  <c r="Y499" i="6"/>
  <c r="Z499" i="6"/>
  <c r="AA499" i="6"/>
  <c r="AB499" i="6"/>
  <c r="AC499" i="6"/>
  <c r="AD499" i="6"/>
  <c r="AE499" i="6"/>
  <c r="X500" i="6"/>
  <c r="Y500" i="6"/>
  <c r="Z500" i="6"/>
  <c r="AA500" i="6"/>
  <c r="AB500" i="6"/>
  <c r="AC500" i="6"/>
  <c r="AD500" i="6"/>
  <c r="AE500" i="6"/>
  <c r="X501" i="6"/>
  <c r="Y501" i="6"/>
  <c r="Z501" i="6"/>
  <c r="AA501" i="6"/>
  <c r="AB501" i="6"/>
  <c r="AC501" i="6"/>
  <c r="AD501" i="6"/>
  <c r="AE501" i="6"/>
  <c r="X502" i="6"/>
  <c r="Y502" i="6"/>
  <c r="Z502" i="6"/>
  <c r="AA502" i="6"/>
  <c r="AB502" i="6"/>
  <c r="AC502" i="6"/>
  <c r="AD502" i="6"/>
  <c r="AE502" i="6"/>
  <c r="X503" i="6"/>
  <c r="Y503" i="6"/>
  <c r="Z503" i="6"/>
  <c r="AA503" i="6"/>
  <c r="AB503" i="6"/>
  <c r="AC503" i="6"/>
  <c r="AD503" i="6"/>
  <c r="AE503" i="6"/>
  <c r="X504" i="6"/>
  <c r="Y504" i="6"/>
  <c r="Z504" i="6"/>
  <c r="AA504" i="6"/>
  <c r="AB504" i="6"/>
  <c r="AC504" i="6"/>
  <c r="AD504" i="6"/>
  <c r="AE504" i="6"/>
  <c r="X505" i="6"/>
  <c r="Y505" i="6"/>
  <c r="Z505" i="6"/>
  <c r="AA505" i="6"/>
  <c r="AB505" i="6"/>
  <c r="AC505" i="6"/>
  <c r="AD505" i="6"/>
  <c r="AE505" i="6"/>
  <c r="X506" i="6"/>
  <c r="Y506" i="6"/>
  <c r="Z506" i="6"/>
  <c r="AA506" i="6"/>
  <c r="AB506" i="6"/>
  <c r="AC506" i="6"/>
  <c r="AD506" i="6"/>
  <c r="AE506" i="6"/>
  <c r="X507" i="6"/>
  <c r="Y507" i="6"/>
  <c r="Z507" i="6"/>
  <c r="AA507" i="6"/>
  <c r="AB507" i="6"/>
  <c r="AC507" i="6"/>
  <c r="AD507" i="6"/>
  <c r="AE507" i="6"/>
  <c r="X508" i="6"/>
  <c r="Y508" i="6"/>
  <c r="Z508" i="6"/>
  <c r="AA508" i="6"/>
  <c r="AB508" i="6"/>
  <c r="AC508" i="6"/>
  <c r="AD508" i="6"/>
  <c r="AE508" i="6"/>
  <c r="X509" i="6"/>
  <c r="Y509" i="6"/>
  <c r="Z509" i="6"/>
  <c r="AA509" i="6"/>
  <c r="AB509" i="6"/>
  <c r="AC509" i="6"/>
  <c r="AD509" i="6"/>
  <c r="AE509" i="6"/>
  <c r="X510" i="6"/>
  <c r="Y510" i="6"/>
  <c r="Z510" i="6"/>
  <c r="AA510" i="6"/>
  <c r="AB510" i="6"/>
  <c r="AC510" i="6"/>
  <c r="AD510" i="6"/>
  <c r="N510" i="6" s="1"/>
  <c r="AE510" i="6"/>
  <c r="O510" i="6" s="1"/>
  <c r="X511" i="6"/>
  <c r="Y511" i="6"/>
  <c r="Z511" i="6"/>
  <c r="AA511" i="6"/>
  <c r="AB511" i="6"/>
  <c r="AC511" i="6"/>
  <c r="AD511" i="6"/>
  <c r="AE511" i="6"/>
  <c r="X512" i="6"/>
  <c r="Y512" i="6"/>
  <c r="Z512" i="6"/>
  <c r="AA512" i="6"/>
  <c r="AB512" i="6"/>
  <c r="AC512" i="6"/>
  <c r="AD512" i="6"/>
  <c r="AE512" i="6"/>
  <c r="X513" i="6"/>
  <c r="Y513" i="6"/>
  <c r="Z513" i="6"/>
  <c r="AA513" i="6"/>
  <c r="AB513" i="6"/>
  <c r="AC513" i="6"/>
  <c r="AD513" i="6"/>
  <c r="AE513" i="6"/>
  <c r="X514" i="6"/>
  <c r="Y514" i="6"/>
  <c r="Z514" i="6"/>
  <c r="AA514" i="6"/>
  <c r="AB514" i="6"/>
  <c r="AC514" i="6"/>
  <c r="AD514" i="6"/>
  <c r="AE514" i="6"/>
  <c r="X515" i="6"/>
  <c r="Y515" i="6"/>
  <c r="Z515" i="6"/>
  <c r="AA515" i="6"/>
  <c r="AB515" i="6"/>
  <c r="AC515" i="6"/>
  <c r="AD515" i="6"/>
  <c r="AE515" i="6"/>
  <c r="X516" i="6"/>
  <c r="Y516" i="6"/>
  <c r="Z516" i="6"/>
  <c r="AA516" i="6"/>
  <c r="AB516" i="6"/>
  <c r="AC516" i="6"/>
  <c r="AD516" i="6"/>
  <c r="AE516" i="6"/>
  <c r="X517" i="6"/>
  <c r="Y517" i="6"/>
  <c r="Z517" i="6"/>
  <c r="AA517" i="6"/>
  <c r="AB517" i="6"/>
  <c r="AC517" i="6"/>
  <c r="AD517" i="6"/>
  <c r="N517" i="6" s="1"/>
  <c r="AE517" i="6"/>
  <c r="O517" i="6" s="1"/>
  <c r="X518" i="6"/>
  <c r="Y518" i="6"/>
  <c r="Z518" i="6"/>
  <c r="AA518" i="6"/>
  <c r="AB518" i="6"/>
  <c r="AC518" i="6"/>
  <c r="AD518" i="6"/>
  <c r="AE518" i="6"/>
  <c r="X519" i="6"/>
  <c r="Y519" i="6"/>
  <c r="Z519" i="6"/>
  <c r="AA519" i="6"/>
  <c r="AB519" i="6"/>
  <c r="AC519" i="6"/>
  <c r="AD519" i="6"/>
  <c r="AE519" i="6"/>
  <c r="X520" i="6"/>
  <c r="Y520" i="6"/>
  <c r="Z520" i="6"/>
  <c r="AA520" i="6"/>
  <c r="AB520" i="6"/>
  <c r="AC520" i="6"/>
  <c r="AD520" i="6"/>
  <c r="AE520" i="6"/>
  <c r="X521" i="6"/>
  <c r="Y521" i="6"/>
  <c r="Z521" i="6"/>
  <c r="AA521" i="6"/>
  <c r="AB521" i="6"/>
  <c r="AC521" i="6"/>
  <c r="AD521" i="6"/>
  <c r="AE521" i="6"/>
  <c r="X522" i="6"/>
  <c r="Y522" i="6"/>
  <c r="Z522" i="6"/>
  <c r="AA522" i="6"/>
  <c r="AB522" i="6"/>
  <c r="AC522" i="6"/>
  <c r="AD522" i="6"/>
  <c r="AE522" i="6"/>
  <c r="X523" i="6"/>
  <c r="Y523" i="6"/>
  <c r="Z523" i="6"/>
  <c r="AA523" i="6"/>
  <c r="AB523" i="6"/>
  <c r="AC523" i="6"/>
  <c r="AD523" i="6"/>
  <c r="AE523" i="6"/>
  <c r="X524" i="6"/>
  <c r="Y524" i="6"/>
  <c r="Z524" i="6"/>
  <c r="AA524" i="6"/>
  <c r="AB524" i="6"/>
  <c r="AC524" i="6"/>
  <c r="AD524" i="6"/>
  <c r="AE524" i="6"/>
  <c r="X525" i="6"/>
  <c r="Y525" i="6"/>
  <c r="Z525" i="6"/>
  <c r="AA525" i="6"/>
  <c r="AB525" i="6"/>
  <c r="AC525" i="6"/>
  <c r="AD525" i="6"/>
  <c r="AE525" i="6"/>
  <c r="X526" i="6"/>
  <c r="Y526" i="6"/>
  <c r="Z526" i="6"/>
  <c r="AA526" i="6"/>
  <c r="AB526" i="6"/>
  <c r="AC526" i="6"/>
  <c r="AD526" i="6"/>
  <c r="AE526" i="6"/>
  <c r="X527" i="6"/>
  <c r="Y527" i="6"/>
  <c r="Z527" i="6"/>
  <c r="AA527" i="6"/>
  <c r="AB527" i="6"/>
  <c r="AC527" i="6"/>
  <c r="AD527" i="6"/>
  <c r="AE527" i="6"/>
  <c r="X528" i="6"/>
  <c r="Y528" i="6"/>
  <c r="Z528" i="6"/>
  <c r="AA528" i="6"/>
  <c r="AB528" i="6"/>
  <c r="AC528" i="6"/>
  <c r="AD528" i="6"/>
  <c r="AE528" i="6"/>
  <c r="X529" i="6"/>
  <c r="Y529" i="6"/>
  <c r="Z529" i="6"/>
  <c r="AA529" i="6"/>
  <c r="AB529" i="6"/>
  <c r="AC529" i="6"/>
  <c r="AD529" i="6"/>
  <c r="AE529" i="6"/>
  <c r="X530" i="6"/>
  <c r="Y530" i="6"/>
  <c r="Z530" i="6"/>
  <c r="AA530" i="6"/>
  <c r="AB530" i="6"/>
  <c r="AC530" i="6"/>
  <c r="AD530" i="6"/>
  <c r="AE530" i="6"/>
  <c r="X531" i="6"/>
  <c r="Y531" i="6"/>
  <c r="Z531" i="6"/>
  <c r="AA531" i="6"/>
  <c r="AB531" i="6"/>
  <c r="AC531" i="6"/>
  <c r="AD531" i="6"/>
  <c r="AE531" i="6"/>
  <c r="X532" i="6"/>
  <c r="Y532" i="6"/>
  <c r="Z532" i="6"/>
  <c r="AA532" i="6"/>
  <c r="AB532" i="6"/>
  <c r="AC532" i="6"/>
  <c r="AD532" i="6"/>
  <c r="AE532" i="6"/>
  <c r="X533" i="6"/>
  <c r="Y533" i="6"/>
  <c r="Z533" i="6"/>
  <c r="AA533" i="6"/>
  <c r="AB533" i="6"/>
  <c r="AC533" i="6"/>
  <c r="AD533" i="6"/>
  <c r="AE533" i="6"/>
  <c r="X534" i="6"/>
  <c r="Y534" i="6"/>
  <c r="Z534" i="6"/>
  <c r="AA534" i="6"/>
  <c r="AB534" i="6"/>
  <c r="AC534" i="6"/>
  <c r="AD534" i="6"/>
  <c r="AE534" i="6"/>
  <c r="X535" i="6"/>
  <c r="Y535" i="6"/>
  <c r="Z535" i="6"/>
  <c r="AA535" i="6"/>
  <c r="AB535" i="6"/>
  <c r="AC535" i="6"/>
  <c r="AD535" i="6"/>
  <c r="AE535" i="6"/>
  <c r="X536" i="6"/>
  <c r="Y536" i="6"/>
  <c r="Z536" i="6"/>
  <c r="AA536" i="6"/>
  <c r="AB536" i="6"/>
  <c r="AC536" i="6"/>
  <c r="AD536" i="6"/>
  <c r="AE536" i="6"/>
  <c r="X537" i="6"/>
  <c r="Y537" i="6"/>
  <c r="Z537" i="6"/>
  <c r="AA537" i="6"/>
  <c r="AB537" i="6"/>
  <c r="AC537" i="6"/>
  <c r="AD537" i="6"/>
  <c r="AE537" i="6"/>
  <c r="X538" i="6"/>
  <c r="Y538" i="6"/>
  <c r="Z538" i="6"/>
  <c r="AA538" i="6"/>
  <c r="AB538" i="6"/>
  <c r="AC538" i="6"/>
  <c r="AD538" i="6"/>
  <c r="AE538" i="6"/>
  <c r="X539" i="6"/>
  <c r="Y539" i="6"/>
  <c r="Z539" i="6"/>
  <c r="AA539" i="6"/>
  <c r="AB539" i="6"/>
  <c r="AC539" i="6"/>
  <c r="AD539" i="6"/>
  <c r="AE539" i="6"/>
  <c r="X540" i="6"/>
  <c r="Y540" i="6"/>
  <c r="Z540" i="6"/>
  <c r="AA540" i="6"/>
  <c r="AB540" i="6"/>
  <c r="AC540" i="6"/>
  <c r="AD540" i="6"/>
  <c r="AE540" i="6"/>
  <c r="X541" i="6"/>
  <c r="Y541" i="6"/>
  <c r="Z541" i="6"/>
  <c r="AA541" i="6"/>
  <c r="AB541" i="6"/>
  <c r="AC541" i="6"/>
  <c r="AD541" i="6"/>
  <c r="AE541" i="6"/>
  <c r="X542" i="6"/>
  <c r="Y542" i="6"/>
  <c r="Z542" i="6"/>
  <c r="AA542" i="6"/>
  <c r="AB542" i="6"/>
  <c r="AC542" i="6"/>
  <c r="AD542" i="6"/>
  <c r="AE542" i="6"/>
  <c r="X543" i="6"/>
  <c r="Y543" i="6"/>
  <c r="Z543" i="6"/>
  <c r="AA543" i="6"/>
  <c r="AB543" i="6"/>
  <c r="AC543" i="6"/>
  <c r="AD543" i="6"/>
  <c r="AE543" i="6"/>
  <c r="AE488" i="6"/>
  <c r="AD488" i="6"/>
  <c r="AC488" i="6"/>
  <c r="AB488" i="6"/>
  <c r="AA488" i="6"/>
  <c r="Z488" i="6"/>
  <c r="Y488" i="6"/>
  <c r="X488" i="6"/>
  <c r="M517" i="6"/>
  <c r="L517" i="6"/>
  <c r="K517" i="6"/>
  <c r="J517" i="6"/>
  <c r="I517" i="6"/>
  <c r="H517" i="6"/>
  <c r="G517" i="6"/>
  <c r="M510" i="6"/>
  <c r="L510" i="6"/>
  <c r="K510" i="6"/>
  <c r="J510" i="6"/>
  <c r="I510" i="6"/>
  <c r="H510" i="6"/>
  <c r="G510" i="6"/>
  <c r="H489" i="6"/>
  <c r="I489" i="6"/>
  <c r="J489" i="6"/>
  <c r="K489" i="6"/>
  <c r="L489" i="6"/>
  <c r="M489" i="6"/>
  <c r="N489" i="6"/>
  <c r="G489" i="6"/>
  <c r="H356" i="6"/>
  <c r="H355" i="6" s="1"/>
  <c r="I356" i="6"/>
  <c r="I355" i="6" s="1"/>
  <c r="J356" i="6"/>
  <c r="J355" i="6" s="1"/>
  <c r="K356" i="6"/>
  <c r="K355" i="6" s="1"/>
  <c r="L356" i="6"/>
  <c r="L355" i="6" s="1"/>
  <c r="M356" i="6"/>
  <c r="M355" i="6" s="1"/>
  <c r="N356" i="6"/>
  <c r="N355" i="6" s="1"/>
  <c r="O356" i="6"/>
  <c r="O355" i="6" s="1"/>
  <c r="H361" i="6"/>
  <c r="I361" i="6"/>
  <c r="J361" i="6"/>
  <c r="K361" i="6"/>
  <c r="L361" i="6"/>
  <c r="M361" i="6"/>
  <c r="N361" i="6"/>
  <c r="O361" i="6"/>
  <c r="H372" i="6"/>
  <c r="I372" i="6"/>
  <c r="J372" i="6"/>
  <c r="K372" i="6"/>
  <c r="L372" i="6"/>
  <c r="M372" i="6"/>
  <c r="N372" i="6"/>
  <c r="O372" i="6"/>
  <c r="H394" i="6"/>
  <c r="I394" i="6"/>
  <c r="J394" i="6"/>
  <c r="K394" i="6"/>
  <c r="L394" i="6"/>
  <c r="M394" i="6"/>
  <c r="N394" i="6"/>
  <c r="O394" i="6"/>
  <c r="H403" i="6"/>
  <c r="I403" i="6"/>
  <c r="J403" i="6"/>
  <c r="K403" i="6"/>
  <c r="L403" i="6"/>
  <c r="M403" i="6"/>
  <c r="N403" i="6"/>
  <c r="O403" i="6"/>
  <c r="H417" i="6"/>
  <c r="I417" i="6"/>
  <c r="J417" i="6"/>
  <c r="K417" i="6"/>
  <c r="L417" i="6"/>
  <c r="M417" i="6"/>
  <c r="N417" i="6"/>
  <c r="O417" i="6"/>
  <c r="H450" i="6"/>
  <c r="I450" i="6"/>
  <c r="J450" i="6"/>
  <c r="K450" i="6"/>
  <c r="L450" i="6"/>
  <c r="M450" i="6"/>
  <c r="N450" i="6"/>
  <c r="O450" i="6"/>
  <c r="H457" i="6"/>
  <c r="I457" i="6"/>
  <c r="J457" i="6"/>
  <c r="K457" i="6"/>
  <c r="L457" i="6"/>
  <c r="M457" i="6"/>
  <c r="N457" i="6"/>
  <c r="O457" i="6"/>
  <c r="G457" i="6"/>
  <c r="G450" i="6"/>
  <c r="G417" i="6"/>
  <c r="G403" i="6"/>
  <c r="G394" i="6"/>
  <c r="G372" i="6"/>
  <c r="G361" i="6"/>
  <c r="G356" i="6"/>
  <c r="H158" i="6"/>
  <c r="I158" i="6"/>
  <c r="J158" i="6"/>
  <c r="K158" i="6"/>
  <c r="L158" i="6"/>
  <c r="M158" i="6"/>
  <c r="N158" i="6"/>
  <c r="O158" i="6"/>
  <c r="H228" i="6"/>
  <c r="I228" i="6"/>
  <c r="J228" i="6"/>
  <c r="K228" i="6"/>
  <c r="L228" i="6"/>
  <c r="M228" i="6"/>
  <c r="N228" i="6"/>
  <c r="O228" i="6"/>
  <c r="H269" i="6"/>
  <c r="I269" i="6"/>
  <c r="J269" i="6"/>
  <c r="K269" i="6"/>
  <c r="L269" i="6"/>
  <c r="M269" i="6"/>
  <c r="N269" i="6"/>
  <c r="O269" i="6"/>
  <c r="H295" i="6"/>
  <c r="I295" i="6"/>
  <c r="J295" i="6"/>
  <c r="K295" i="6"/>
  <c r="L295" i="6"/>
  <c r="M295" i="6"/>
  <c r="N295" i="6"/>
  <c r="O295" i="6"/>
  <c r="H316" i="6"/>
  <c r="I316" i="6"/>
  <c r="J316" i="6"/>
  <c r="K316" i="6"/>
  <c r="L316" i="6"/>
  <c r="M316" i="6"/>
  <c r="N316" i="6"/>
  <c r="O316" i="6"/>
  <c r="H336" i="6"/>
  <c r="I336" i="6"/>
  <c r="J336" i="6"/>
  <c r="K336" i="6"/>
  <c r="L336" i="6"/>
  <c r="M336" i="6"/>
  <c r="N336" i="6"/>
  <c r="O336" i="6"/>
  <c r="H352" i="6"/>
  <c r="I352" i="6"/>
  <c r="J352" i="6"/>
  <c r="K352" i="6"/>
  <c r="L352" i="6"/>
  <c r="M352" i="6"/>
  <c r="N352" i="6"/>
  <c r="O352" i="6"/>
  <c r="G352" i="6"/>
  <c r="G336" i="6"/>
  <c r="G316" i="6"/>
  <c r="G295" i="6"/>
  <c r="G269" i="6"/>
  <c r="G228" i="6"/>
  <c r="A42" i="35"/>
  <c r="Z357" i="6" s="1"/>
  <c r="A37" i="35"/>
  <c r="AE356" i="6" s="1"/>
  <c r="Z356" i="6"/>
  <c r="AC356" i="6"/>
  <c r="AD356" i="6"/>
  <c r="AD357" i="6"/>
  <c r="Z358" i="6"/>
  <c r="AC358" i="6"/>
  <c r="AD358" i="6"/>
  <c r="Z359" i="6"/>
  <c r="AC359" i="6"/>
  <c r="Z360" i="6"/>
  <c r="AC360" i="6"/>
  <c r="AD360" i="6"/>
  <c r="AE360" i="6"/>
  <c r="X361" i="6"/>
  <c r="Y361" i="6"/>
  <c r="Z361" i="6"/>
  <c r="AA361" i="6"/>
  <c r="AB361" i="6"/>
  <c r="AC361" i="6"/>
  <c r="AD361" i="6"/>
  <c r="AE361" i="6"/>
  <c r="X362" i="6"/>
  <c r="Y362" i="6"/>
  <c r="Z362" i="6"/>
  <c r="AA362" i="6"/>
  <c r="AB362" i="6"/>
  <c r="AC362" i="6"/>
  <c r="AD362" i="6"/>
  <c r="AE362" i="6"/>
  <c r="X363" i="6"/>
  <c r="Y363" i="6"/>
  <c r="Z363" i="6"/>
  <c r="AA363" i="6"/>
  <c r="AB363" i="6"/>
  <c r="AC363" i="6"/>
  <c r="AD363" i="6"/>
  <c r="AE363" i="6"/>
  <c r="X364" i="6"/>
  <c r="Y364" i="6"/>
  <c r="Z364" i="6"/>
  <c r="AA364" i="6"/>
  <c r="AB364" i="6"/>
  <c r="AC364" i="6"/>
  <c r="AD364" i="6"/>
  <c r="AE364" i="6"/>
  <c r="X365" i="6"/>
  <c r="Y365" i="6"/>
  <c r="Z365" i="6"/>
  <c r="AA365" i="6"/>
  <c r="AB365" i="6"/>
  <c r="AC365" i="6"/>
  <c r="AD365" i="6"/>
  <c r="AE365" i="6"/>
  <c r="X366" i="6"/>
  <c r="Y366" i="6"/>
  <c r="Z366" i="6"/>
  <c r="AA366" i="6"/>
  <c r="AB366" i="6"/>
  <c r="AC366" i="6"/>
  <c r="AD366" i="6"/>
  <c r="AE366" i="6"/>
  <c r="X367" i="6"/>
  <c r="Y367" i="6"/>
  <c r="Z367" i="6"/>
  <c r="AA367" i="6"/>
  <c r="AB367" i="6"/>
  <c r="AC367" i="6"/>
  <c r="AD367" i="6"/>
  <c r="AE367" i="6"/>
  <c r="X368" i="6"/>
  <c r="Y368" i="6"/>
  <c r="Z368" i="6"/>
  <c r="AA368" i="6"/>
  <c r="AB368" i="6"/>
  <c r="AC368" i="6"/>
  <c r="AD368" i="6"/>
  <c r="AE368" i="6"/>
  <c r="X369" i="6"/>
  <c r="Y369" i="6"/>
  <c r="Z369" i="6"/>
  <c r="AA369" i="6"/>
  <c r="AB369" i="6"/>
  <c r="AC369" i="6"/>
  <c r="AD369" i="6"/>
  <c r="AE369" i="6"/>
  <c r="X370" i="6"/>
  <c r="Y370" i="6"/>
  <c r="Z370" i="6"/>
  <c r="AA370" i="6"/>
  <c r="AB370" i="6"/>
  <c r="AC370" i="6"/>
  <c r="AD370" i="6"/>
  <c r="AE370" i="6"/>
  <c r="X371" i="6"/>
  <c r="Y371" i="6"/>
  <c r="Z371" i="6"/>
  <c r="AA371" i="6"/>
  <c r="AB371" i="6"/>
  <c r="AC371" i="6"/>
  <c r="AD371" i="6"/>
  <c r="AE371" i="6"/>
  <c r="X372" i="6"/>
  <c r="Y372" i="6"/>
  <c r="Z372" i="6"/>
  <c r="AA372" i="6"/>
  <c r="AB372" i="6"/>
  <c r="AC372" i="6"/>
  <c r="AD372" i="6"/>
  <c r="AE372" i="6"/>
  <c r="X373" i="6"/>
  <c r="Y373" i="6"/>
  <c r="Z373" i="6"/>
  <c r="AA373" i="6"/>
  <c r="AB373" i="6"/>
  <c r="AC373" i="6"/>
  <c r="AD373" i="6"/>
  <c r="AE373" i="6"/>
  <c r="X374" i="6"/>
  <c r="Y374" i="6"/>
  <c r="Z374" i="6"/>
  <c r="AA374" i="6"/>
  <c r="AB374" i="6"/>
  <c r="AC374" i="6"/>
  <c r="AD374" i="6"/>
  <c r="AE374" i="6"/>
  <c r="X375" i="6"/>
  <c r="Y375" i="6"/>
  <c r="Z375" i="6"/>
  <c r="AA375" i="6"/>
  <c r="AB375" i="6"/>
  <c r="AC375" i="6"/>
  <c r="AD375" i="6"/>
  <c r="AE375" i="6"/>
  <c r="X376" i="6"/>
  <c r="Y376" i="6"/>
  <c r="Z376" i="6"/>
  <c r="AA376" i="6"/>
  <c r="AB376" i="6"/>
  <c r="AC376" i="6"/>
  <c r="AD376" i="6"/>
  <c r="AE376" i="6"/>
  <c r="X377" i="6"/>
  <c r="Y377" i="6"/>
  <c r="Z377" i="6"/>
  <c r="AA377" i="6"/>
  <c r="AB377" i="6"/>
  <c r="AC377" i="6"/>
  <c r="AD377" i="6"/>
  <c r="AE377" i="6"/>
  <c r="X378" i="6"/>
  <c r="Y378" i="6"/>
  <c r="Z378" i="6"/>
  <c r="AA378" i="6"/>
  <c r="AB378" i="6"/>
  <c r="AC378" i="6"/>
  <c r="AD378" i="6"/>
  <c r="AE378" i="6"/>
  <c r="X379" i="6"/>
  <c r="Y379" i="6"/>
  <c r="Z379" i="6"/>
  <c r="AA379" i="6"/>
  <c r="AB379" i="6"/>
  <c r="AC379" i="6"/>
  <c r="AD379" i="6"/>
  <c r="AE379" i="6"/>
  <c r="X380" i="6"/>
  <c r="Y380" i="6"/>
  <c r="Z380" i="6"/>
  <c r="AA380" i="6"/>
  <c r="AB380" i="6"/>
  <c r="AC380" i="6"/>
  <c r="AD380" i="6"/>
  <c r="AE380" i="6"/>
  <c r="X381" i="6"/>
  <c r="Y381" i="6"/>
  <c r="Z381" i="6"/>
  <c r="AA381" i="6"/>
  <c r="AB381" i="6"/>
  <c r="AC381" i="6"/>
  <c r="AD381" i="6"/>
  <c r="AE381" i="6"/>
  <c r="X382" i="6"/>
  <c r="Y382" i="6"/>
  <c r="Z382" i="6"/>
  <c r="AA382" i="6"/>
  <c r="AB382" i="6"/>
  <c r="AC382" i="6"/>
  <c r="AD382" i="6"/>
  <c r="AE382" i="6"/>
  <c r="X383" i="6"/>
  <c r="Y383" i="6"/>
  <c r="Z383" i="6"/>
  <c r="AA383" i="6"/>
  <c r="AB383" i="6"/>
  <c r="AC383" i="6"/>
  <c r="AD383" i="6"/>
  <c r="AE383" i="6"/>
  <c r="X384" i="6"/>
  <c r="Y384" i="6"/>
  <c r="Z384" i="6"/>
  <c r="AA384" i="6"/>
  <c r="AB384" i="6"/>
  <c r="AC384" i="6"/>
  <c r="AD384" i="6"/>
  <c r="AE384" i="6"/>
  <c r="X385" i="6"/>
  <c r="Y385" i="6"/>
  <c r="Z385" i="6"/>
  <c r="AA385" i="6"/>
  <c r="AB385" i="6"/>
  <c r="AC385" i="6"/>
  <c r="AD385" i="6"/>
  <c r="AE385" i="6"/>
  <c r="X386" i="6"/>
  <c r="Y386" i="6"/>
  <c r="Z386" i="6"/>
  <c r="AA386" i="6"/>
  <c r="AB386" i="6"/>
  <c r="AC386" i="6"/>
  <c r="AD386" i="6"/>
  <c r="AE386" i="6"/>
  <c r="X387" i="6"/>
  <c r="Y387" i="6"/>
  <c r="Z387" i="6"/>
  <c r="AA387" i="6"/>
  <c r="AB387" i="6"/>
  <c r="AC387" i="6"/>
  <c r="AD387" i="6"/>
  <c r="AE387" i="6"/>
  <c r="X388" i="6"/>
  <c r="Y388" i="6"/>
  <c r="Z388" i="6"/>
  <c r="AA388" i="6"/>
  <c r="AB388" i="6"/>
  <c r="AC388" i="6"/>
  <c r="AD388" i="6"/>
  <c r="AE388" i="6"/>
  <c r="X389" i="6"/>
  <c r="Y389" i="6"/>
  <c r="Z389" i="6"/>
  <c r="AA389" i="6"/>
  <c r="AB389" i="6"/>
  <c r="AC389" i="6"/>
  <c r="AD389" i="6"/>
  <c r="AE389" i="6"/>
  <c r="X390" i="6"/>
  <c r="Y390" i="6"/>
  <c r="Z390" i="6"/>
  <c r="AA390" i="6"/>
  <c r="AB390" i="6"/>
  <c r="AC390" i="6"/>
  <c r="AD390" i="6"/>
  <c r="AE390" i="6"/>
  <c r="X391" i="6"/>
  <c r="Y391" i="6"/>
  <c r="Z391" i="6"/>
  <c r="AA391" i="6"/>
  <c r="AB391" i="6"/>
  <c r="AC391" i="6"/>
  <c r="AD391" i="6"/>
  <c r="AE391" i="6"/>
  <c r="X392" i="6"/>
  <c r="Y392" i="6"/>
  <c r="Z392" i="6"/>
  <c r="AA392" i="6"/>
  <c r="AB392" i="6"/>
  <c r="AC392" i="6"/>
  <c r="AD392" i="6"/>
  <c r="AE392" i="6"/>
  <c r="X393" i="6"/>
  <c r="Y393" i="6"/>
  <c r="Z393" i="6"/>
  <c r="AA393" i="6"/>
  <c r="AB393" i="6"/>
  <c r="AC393" i="6"/>
  <c r="AD393" i="6"/>
  <c r="AE393" i="6"/>
  <c r="X394" i="6"/>
  <c r="Y394" i="6"/>
  <c r="Z394" i="6"/>
  <c r="AA394" i="6"/>
  <c r="AB394" i="6"/>
  <c r="AC394" i="6"/>
  <c r="AD394" i="6"/>
  <c r="AE394" i="6"/>
  <c r="X395" i="6"/>
  <c r="Y395" i="6"/>
  <c r="Z395" i="6"/>
  <c r="AA395" i="6"/>
  <c r="AB395" i="6"/>
  <c r="AC395" i="6"/>
  <c r="AD395" i="6"/>
  <c r="AE395" i="6"/>
  <c r="X396" i="6"/>
  <c r="Y396" i="6"/>
  <c r="Z396" i="6"/>
  <c r="AA396" i="6"/>
  <c r="AB396" i="6"/>
  <c r="AC396" i="6"/>
  <c r="AD396" i="6"/>
  <c r="AE396" i="6"/>
  <c r="X397" i="6"/>
  <c r="Y397" i="6"/>
  <c r="Z397" i="6"/>
  <c r="AA397" i="6"/>
  <c r="AB397" i="6"/>
  <c r="AC397" i="6"/>
  <c r="AD397" i="6"/>
  <c r="AE397" i="6"/>
  <c r="X398" i="6"/>
  <c r="Y398" i="6"/>
  <c r="Z398" i="6"/>
  <c r="AA398" i="6"/>
  <c r="AB398" i="6"/>
  <c r="AC398" i="6"/>
  <c r="AD398" i="6"/>
  <c r="AE398" i="6"/>
  <c r="X399" i="6"/>
  <c r="Y399" i="6"/>
  <c r="Z399" i="6"/>
  <c r="AA399" i="6"/>
  <c r="AB399" i="6"/>
  <c r="AC399" i="6"/>
  <c r="AD399" i="6"/>
  <c r="AE399" i="6"/>
  <c r="X400" i="6"/>
  <c r="Y400" i="6"/>
  <c r="Z400" i="6"/>
  <c r="AA400" i="6"/>
  <c r="AB400" i="6"/>
  <c r="AC400" i="6"/>
  <c r="AD400" i="6"/>
  <c r="AE400" i="6"/>
  <c r="X401" i="6"/>
  <c r="Y401" i="6"/>
  <c r="Z401" i="6"/>
  <c r="AA401" i="6"/>
  <c r="AB401" i="6"/>
  <c r="AC401" i="6"/>
  <c r="AD401" i="6"/>
  <c r="AE401" i="6"/>
  <c r="X402" i="6"/>
  <c r="Y402" i="6"/>
  <c r="Z402" i="6"/>
  <c r="AA402" i="6"/>
  <c r="AB402" i="6"/>
  <c r="AC402" i="6"/>
  <c r="AD402" i="6"/>
  <c r="AE402" i="6"/>
  <c r="X403" i="6"/>
  <c r="Y403" i="6"/>
  <c r="Z403" i="6"/>
  <c r="AA403" i="6"/>
  <c r="AB403" i="6"/>
  <c r="AC403" i="6"/>
  <c r="AD403" i="6"/>
  <c r="AE403" i="6"/>
  <c r="X404" i="6"/>
  <c r="Y404" i="6"/>
  <c r="Z404" i="6"/>
  <c r="AA404" i="6"/>
  <c r="AB404" i="6"/>
  <c r="AC404" i="6"/>
  <c r="AD404" i="6"/>
  <c r="AE404" i="6"/>
  <c r="X405" i="6"/>
  <c r="Y405" i="6"/>
  <c r="Z405" i="6"/>
  <c r="AA405" i="6"/>
  <c r="AB405" i="6"/>
  <c r="AC405" i="6"/>
  <c r="AD405" i="6"/>
  <c r="AE405" i="6"/>
  <c r="X406" i="6"/>
  <c r="Y406" i="6"/>
  <c r="Z406" i="6"/>
  <c r="AA406" i="6"/>
  <c r="AB406" i="6"/>
  <c r="AC406" i="6"/>
  <c r="AD406" i="6"/>
  <c r="AE406" i="6"/>
  <c r="X407" i="6"/>
  <c r="Y407" i="6"/>
  <c r="Z407" i="6"/>
  <c r="AA407" i="6"/>
  <c r="AB407" i="6"/>
  <c r="AC407" i="6"/>
  <c r="AD407" i="6"/>
  <c r="AE407" i="6"/>
  <c r="X408" i="6"/>
  <c r="Y408" i="6"/>
  <c r="Z408" i="6"/>
  <c r="AA408" i="6"/>
  <c r="AB408" i="6"/>
  <c r="AC408" i="6"/>
  <c r="AD408" i="6"/>
  <c r="AE408" i="6"/>
  <c r="X409" i="6"/>
  <c r="Y409" i="6"/>
  <c r="Z409" i="6"/>
  <c r="AA409" i="6"/>
  <c r="AB409" i="6"/>
  <c r="AC409" i="6"/>
  <c r="AD409" i="6"/>
  <c r="AE409" i="6"/>
  <c r="X410" i="6"/>
  <c r="Y410" i="6"/>
  <c r="Z410" i="6"/>
  <c r="AA410" i="6"/>
  <c r="AB410" i="6"/>
  <c r="AC410" i="6"/>
  <c r="AD410" i="6"/>
  <c r="AE410" i="6"/>
  <c r="X411" i="6"/>
  <c r="Y411" i="6"/>
  <c r="Z411" i="6"/>
  <c r="AA411" i="6"/>
  <c r="AB411" i="6"/>
  <c r="AC411" i="6"/>
  <c r="AD411" i="6"/>
  <c r="AE411" i="6"/>
  <c r="X412" i="6"/>
  <c r="Y412" i="6"/>
  <c r="Z412" i="6"/>
  <c r="AA412" i="6"/>
  <c r="AB412" i="6"/>
  <c r="AC412" i="6"/>
  <c r="AD412" i="6"/>
  <c r="AE412" i="6"/>
  <c r="X413" i="6"/>
  <c r="Y413" i="6"/>
  <c r="Z413" i="6"/>
  <c r="AA413" i="6"/>
  <c r="AB413" i="6"/>
  <c r="AC413" i="6"/>
  <c r="AD413" i="6"/>
  <c r="AE413" i="6"/>
  <c r="X414" i="6"/>
  <c r="Y414" i="6"/>
  <c r="Z414" i="6"/>
  <c r="AA414" i="6"/>
  <c r="AB414" i="6"/>
  <c r="AC414" i="6"/>
  <c r="AD414" i="6"/>
  <c r="AE414" i="6"/>
  <c r="X415" i="6"/>
  <c r="Y415" i="6"/>
  <c r="Z415" i="6"/>
  <c r="AA415" i="6"/>
  <c r="AB415" i="6"/>
  <c r="AC415" i="6"/>
  <c r="AD415" i="6"/>
  <c r="AE415" i="6"/>
  <c r="X416" i="6"/>
  <c r="Y416" i="6"/>
  <c r="Z416" i="6"/>
  <c r="AA416" i="6"/>
  <c r="AB416" i="6"/>
  <c r="AC416" i="6"/>
  <c r="AD416" i="6"/>
  <c r="AE416" i="6"/>
  <c r="X417" i="6"/>
  <c r="Y417" i="6"/>
  <c r="Z417" i="6"/>
  <c r="AA417" i="6"/>
  <c r="AB417" i="6"/>
  <c r="AC417" i="6"/>
  <c r="AD417" i="6"/>
  <c r="AE417" i="6"/>
  <c r="X418" i="6"/>
  <c r="Y418" i="6"/>
  <c r="Z418" i="6"/>
  <c r="AA418" i="6"/>
  <c r="AB418" i="6"/>
  <c r="AC418" i="6"/>
  <c r="AD418" i="6"/>
  <c r="AE418" i="6"/>
  <c r="X419" i="6"/>
  <c r="Y419" i="6"/>
  <c r="Z419" i="6"/>
  <c r="AA419" i="6"/>
  <c r="AB419" i="6"/>
  <c r="AC419" i="6"/>
  <c r="AD419" i="6"/>
  <c r="AE419" i="6"/>
  <c r="X420" i="6"/>
  <c r="Y420" i="6"/>
  <c r="Z420" i="6"/>
  <c r="AA420" i="6"/>
  <c r="AB420" i="6"/>
  <c r="AC420" i="6"/>
  <c r="AD420" i="6"/>
  <c r="AE420" i="6"/>
  <c r="X421" i="6"/>
  <c r="Y421" i="6"/>
  <c r="Z421" i="6"/>
  <c r="AA421" i="6"/>
  <c r="AB421" i="6"/>
  <c r="AC421" i="6"/>
  <c r="AD421" i="6"/>
  <c r="AE421" i="6"/>
  <c r="X422" i="6"/>
  <c r="Y422" i="6"/>
  <c r="Z422" i="6"/>
  <c r="AA422" i="6"/>
  <c r="AB422" i="6"/>
  <c r="AC422" i="6"/>
  <c r="AD422" i="6"/>
  <c r="AE422" i="6"/>
  <c r="X423" i="6"/>
  <c r="Y423" i="6"/>
  <c r="Z423" i="6"/>
  <c r="AA423" i="6"/>
  <c r="AB423" i="6"/>
  <c r="AC423" i="6"/>
  <c r="AD423" i="6"/>
  <c r="AE423" i="6"/>
  <c r="X424" i="6"/>
  <c r="Y424" i="6"/>
  <c r="Z424" i="6"/>
  <c r="AA424" i="6"/>
  <c r="AB424" i="6"/>
  <c r="AC424" i="6"/>
  <c r="AD424" i="6"/>
  <c r="AE424" i="6"/>
  <c r="X425" i="6"/>
  <c r="Y425" i="6"/>
  <c r="Z425" i="6"/>
  <c r="AA425" i="6"/>
  <c r="AB425" i="6"/>
  <c r="AC425" i="6"/>
  <c r="AD425" i="6"/>
  <c r="AE425" i="6"/>
  <c r="X426" i="6"/>
  <c r="Y426" i="6"/>
  <c r="Z426" i="6"/>
  <c r="AA426" i="6"/>
  <c r="AB426" i="6"/>
  <c r="AC426" i="6"/>
  <c r="AD426" i="6"/>
  <c r="AE426" i="6"/>
  <c r="X427" i="6"/>
  <c r="Y427" i="6"/>
  <c r="Z427" i="6"/>
  <c r="AA427" i="6"/>
  <c r="AB427" i="6"/>
  <c r="AC427" i="6"/>
  <c r="AD427" i="6"/>
  <c r="AE427" i="6"/>
  <c r="X428" i="6"/>
  <c r="Y428" i="6"/>
  <c r="Z428" i="6"/>
  <c r="AA428" i="6"/>
  <c r="AB428" i="6"/>
  <c r="AC428" i="6"/>
  <c r="AD428" i="6"/>
  <c r="AE428" i="6"/>
  <c r="X429" i="6"/>
  <c r="Y429" i="6"/>
  <c r="Z429" i="6"/>
  <c r="AA429" i="6"/>
  <c r="AB429" i="6"/>
  <c r="AC429" i="6"/>
  <c r="AD429" i="6"/>
  <c r="AE429" i="6"/>
  <c r="X430" i="6"/>
  <c r="Y430" i="6"/>
  <c r="Z430" i="6"/>
  <c r="AA430" i="6"/>
  <c r="AB430" i="6"/>
  <c r="AC430" i="6"/>
  <c r="AD430" i="6"/>
  <c r="AE430" i="6"/>
  <c r="X431" i="6"/>
  <c r="Y431" i="6"/>
  <c r="Z431" i="6"/>
  <c r="AA431" i="6"/>
  <c r="AB431" i="6"/>
  <c r="AC431" i="6"/>
  <c r="AD431" i="6"/>
  <c r="AE431" i="6"/>
  <c r="X432" i="6"/>
  <c r="Y432" i="6"/>
  <c r="Z432" i="6"/>
  <c r="AA432" i="6"/>
  <c r="AB432" i="6"/>
  <c r="AC432" i="6"/>
  <c r="AD432" i="6"/>
  <c r="AE432" i="6"/>
  <c r="X433" i="6"/>
  <c r="Y433" i="6"/>
  <c r="Z433" i="6"/>
  <c r="AA433" i="6"/>
  <c r="AB433" i="6"/>
  <c r="AC433" i="6"/>
  <c r="AD433" i="6"/>
  <c r="AE433" i="6"/>
  <c r="X434" i="6"/>
  <c r="Y434" i="6"/>
  <c r="Z434" i="6"/>
  <c r="AA434" i="6"/>
  <c r="AB434" i="6"/>
  <c r="AC434" i="6"/>
  <c r="AD434" i="6"/>
  <c r="AE434" i="6"/>
  <c r="X435" i="6"/>
  <c r="Y435" i="6"/>
  <c r="Z435" i="6"/>
  <c r="AA435" i="6"/>
  <c r="AB435" i="6"/>
  <c r="AC435" i="6"/>
  <c r="AD435" i="6"/>
  <c r="AE435" i="6"/>
  <c r="X436" i="6"/>
  <c r="Y436" i="6"/>
  <c r="Z436" i="6"/>
  <c r="AA436" i="6"/>
  <c r="AB436" i="6"/>
  <c r="AC436" i="6"/>
  <c r="AD436" i="6"/>
  <c r="AE436" i="6"/>
  <c r="X437" i="6"/>
  <c r="Y437" i="6"/>
  <c r="Z437" i="6"/>
  <c r="AA437" i="6"/>
  <c r="AB437" i="6"/>
  <c r="AC437" i="6"/>
  <c r="AD437" i="6"/>
  <c r="AE437" i="6"/>
  <c r="X438" i="6"/>
  <c r="Y438" i="6"/>
  <c r="Z438" i="6"/>
  <c r="AA438" i="6"/>
  <c r="AB438" i="6"/>
  <c r="AC438" i="6"/>
  <c r="AD438" i="6"/>
  <c r="AE438" i="6"/>
  <c r="X439" i="6"/>
  <c r="Y439" i="6"/>
  <c r="Z439" i="6"/>
  <c r="AA439" i="6"/>
  <c r="AB439" i="6"/>
  <c r="AC439" i="6"/>
  <c r="AD439" i="6"/>
  <c r="AE439" i="6"/>
  <c r="X440" i="6"/>
  <c r="Y440" i="6"/>
  <c r="Z440" i="6"/>
  <c r="AA440" i="6"/>
  <c r="AB440" i="6"/>
  <c r="AC440" i="6"/>
  <c r="AD440" i="6"/>
  <c r="AE440" i="6"/>
  <c r="X441" i="6"/>
  <c r="Y441" i="6"/>
  <c r="Z441" i="6"/>
  <c r="AA441" i="6"/>
  <c r="AB441" i="6"/>
  <c r="AC441" i="6"/>
  <c r="AD441" i="6"/>
  <c r="AE441" i="6"/>
  <c r="X442" i="6"/>
  <c r="Y442" i="6"/>
  <c r="Z442" i="6"/>
  <c r="AA442" i="6"/>
  <c r="AB442" i="6"/>
  <c r="AC442" i="6"/>
  <c r="AD442" i="6"/>
  <c r="AE442" i="6"/>
  <c r="X443" i="6"/>
  <c r="Y443" i="6"/>
  <c r="Z443" i="6"/>
  <c r="AA443" i="6"/>
  <c r="AB443" i="6"/>
  <c r="AC443" i="6"/>
  <c r="AD443" i="6"/>
  <c r="AE443" i="6"/>
  <c r="X444" i="6"/>
  <c r="Y444" i="6"/>
  <c r="Z444" i="6"/>
  <c r="AA444" i="6"/>
  <c r="AB444" i="6"/>
  <c r="AC444" i="6"/>
  <c r="AD444" i="6"/>
  <c r="AE444" i="6"/>
  <c r="X445" i="6"/>
  <c r="Y445" i="6"/>
  <c r="Z445" i="6"/>
  <c r="AA445" i="6"/>
  <c r="AB445" i="6"/>
  <c r="AC445" i="6"/>
  <c r="AD445" i="6"/>
  <c r="AE445" i="6"/>
  <c r="X446" i="6"/>
  <c r="Y446" i="6"/>
  <c r="Z446" i="6"/>
  <c r="AA446" i="6"/>
  <c r="AB446" i="6"/>
  <c r="AC446" i="6"/>
  <c r="AD446" i="6"/>
  <c r="AE446" i="6"/>
  <c r="X447" i="6"/>
  <c r="Y447" i="6"/>
  <c r="Z447" i="6"/>
  <c r="AA447" i="6"/>
  <c r="AB447" i="6"/>
  <c r="AC447" i="6"/>
  <c r="AD447" i="6"/>
  <c r="AE447" i="6"/>
  <c r="X448" i="6"/>
  <c r="Y448" i="6"/>
  <c r="Z448" i="6"/>
  <c r="AA448" i="6"/>
  <c r="AB448" i="6"/>
  <c r="AC448" i="6"/>
  <c r="AD448" i="6"/>
  <c r="AE448" i="6"/>
  <c r="X449" i="6"/>
  <c r="Y449" i="6"/>
  <c r="Z449" i="6"/>
  <c r="AA449" i="6"/>
  <c r="AB449" i="6"/>
  <c r="AC449" i="6"/>
  <c r="AD449" i="6"/>
  <c r="AE449" i="6"/>
  <c r="X450" i="6"/>
  <c r="Y450" i="6"/>
  <c r="Z450" i="6"/>
  <c r="AA450" i="6"/>
  <c r="AB450" i="6"/>
  <c r="AC450" i="6"/>
  <c r="AD450" i="6"/>
  <c r="AE450" i="6"/>
  <c r="X451" i="6"/>
  <c r="Y451" i="6"/>
  <c r="Z451" i="6"/>
  <c r="AA451" i="6"/>
  <c r="AB451" i="6"/>
  <c r="AC451" i="6"/>
  <c r="AD451" i="6"/>
  <c r="AE451" i="6"/>
  <c r="X452" i="6"/>
  <c r="Y452" i="6"/>
  <c r="Z452" i="6"/>
  <c r="AA452" i="6"/>
  <c r="AB452" i="6"/>
  <c r="AC452" i="6"/>
  <c r="AD452" i="6"/>
  <c r="AE452" i="6"/>
  <c r="X453" i="6"/>
  <c r="Y453" i="6"/>
  <c r="Z453" i="6"/>
  <c r="AA453" i="6"/>
  <c r="AB453" i="6"/>
  <c r="AC453" i="6"/>
  <c r="AD453" i="6"/>
  <c r="AE453" i="6"/>
  <c r="X454" i="6"/>
  <c r="Y454" i="6"/>
  <c r="Z454" i="6"/>
  <c r="AA454" i="6"/>
  <c r="AB454" i="6"/>
  <c r="AC454" i="6"/>
  <c r="AD454" i="6"/>
  <c r="AE454" i="6"/>
  <c r="X455" i="6"/>
  <c r="Y455" i="6"/>
  <c r="Z455" i="6"/>
  <c r="AA455" i="6"/>
  <c r="AB455" i="6"/>
  <c r="AC455" i="6"/>
  <c r="AD455" i="6"/>
  <c r="AE455" i="6"/>
  <c r="X456" i="6"/>
  <c r="Y456" i="6"/>
  <c r="Z456" i="6"/>
  <c r="AA456" i="6"/>
  <c r="AB456" i="6"/>
  <c r="AC456" i="6"/>
  <c r="AD456" i="6"/>
  <c r="AE456" i="6"/>
  <c r="X457" i="6"/>
  <c r="Y457" i="6"/>
  <c r="Z457" i="6"/>
  <c r="AA457" i="6"/>
  <c r="AB457" i="6"/>
  <c r="AC457" i="6"/>
  <c r="AD457" i="6"/>
  <c r="AE457" i="6"/>
  <c r="X458" i="6"/>
  <c r="Y458" i="6"/>
  <c r="Z458" i="6"/>
  <c r="AA458" i="6"/>
  <c r="AB458" i="6"/>
  <c r="AC458" i="6"/>
  <c r="AD458" i="6"/>
  <c r="AE458" i="6"/>
  <c r="X459" i="6"/>
  <c r="Y459" i="6"/>
  <c r="Z459" i="6"/>
  <c r="AA459" i="6"/>
  <c r="AB459" i="6"/>
  <c r="AC459" i="6"/>
  <c r="AD459" i="6"/>
  <c r="AE459" i="6"/>
  <c r="X460" i="6"/>
  <c r="Y460" i="6"/>
  <c r="Z460" i="6"/>
  <c r="AA460" i="6"/>
  <c r="AB460" i="6"/>
  <c r="AC460" i="6"/>
  <c r="AD460" i="6"/>
  <c r="AE460" i="6"/>
  <c r="X461" i="6"/>
  <c r="Y461" i="6"/>
  <c r="Z461" i="6"/>
  <c r="AA461" i="6"/>
  <c r="AB461" i="6"/>
  <c r="AC461" i="6"/>
  <c r="AD461" i="6"/>
  <c r="AE461" i="6"/>
  <c r="X462" i="6"/>
  <c r="Y462" i="6"/>
  <c r="Z462" i="6"/>
  <c r="AA462" i="6"/>
  <c r="AB462" i="6"/>
  <c r="AC462" i="6"/>
  <c r="AD462" i="6"/>
  <c r="AE462" i="6"/>
  <c r="X463" i="6"/>
  <c r="Y463" i="6"/>
  <c r="Z463" i="6"/>
  <c r="AA463" i="6"/>
  <c r="AB463" i="6"/>
  <c r="AC463" i="6"/>
  <c r="AD463" i="6"/>
  <c r="AE463" i="6"/>
  <c r="X464" i="6"/>
  <c r="Y464" i="6"/>
  <c r="Z464" i="6"/>
  <c r="AA464" i="6"/>
  <c r="AB464" i="6"/>
  <c r="AC464" i="6"/>
  <c r="AD464" i="6"/>
  <c r="AE464" i="6"/>
  <c r="X465" i="6"/>
  <c r="Y465" i="6"/>
  <c r="Z465" i="6"/>
  <c r="AA465" i="6"/>
  <c r="AB465" i="6"/>
  <c r="AC465" i="6"/>
  <c r="AD465" i="6"/>
  <c r="AE465" i="6"/>
  <c r="X466" i="6"/>
  <c r="Y466" i="6"/>
  <c r="Z466" i="6"/>
  <c r="AA466" i="6"/>
  <c r="AB466" i="6"/>
  <c r="AC466" i="6"/>
  <c r="AD466" i="6"/>
  <c r="AE466" i="6"/>
  <c r="X467" i="6"/>
  <c r="Y467" i="6"/>
  <c r="Z467" i="6"/>
  <c r="AA467" i="6"/>
  <c r="AB467" i="6"/>
  <c r="AC467" i="6"/>
  <c r="AD467" i="6"/>
  <c r="AE467" i="6"/>
  <c r="X468" i="6"/>
  <c r="Y468" i="6"/>
  <c r="Z468" i="6"/>
  <c r="AA468" i="6"/>
  <c r="AB468" i="6"/>
  <c r="AC468" i="6"/>
  <c r="AD468" i="6"/>
  <c r="AE468" i="6"/>
  <c r="X469" i="6"/>
  <c r="Y469" i="6"/>
  <c r="Z469" i="6"/>
  <c r="AA469" i="6"/>
  <c r="AB469" i="6"/>
  <c r="AC469" i="6"/>
  <c r="AD469" i="6"/>
  <c r="AE469" i="6"/>
  <c r="X470" i="6"/>
  <c r="Y470" i="6"/>
  <c r="Z470" i="6"/>
  <c r="AA470" i="6"/>
  <c r="AB470" i="6"/>
  <c r="AC470" i="6"/>
  <c r="AD470" i="6"/>
  <c r="AE470" i="6"/>
  <c r="X471" i="6"/>
  <c r="Y471" i="6"/>
  <c r="Z471" i="6"/>
  <c r="AA471" i="6"/>
  <c r="AB471" i="6"/>
  <c r="AC471" i="6"/>
  <c r="AD471" i="6"/>
  <c r="AE471" i="6"/>
  <c r="X472" i="6"/>
  <c r="Y472" i="6"/>
  <c r="Z472" i="6"/>
  <c r="AA472" i="6"/>
  <c r="AB472" i="6"/>
  <c r="AC472" i="6"/>
  <c r="AD472" i="6"/>
  <c r="AE472" i="6"/>
  <c r="X473" i="6"/>
  <c r="Y473" i="6"/>
  <c r="Z473" i="6"/>
  <c r="AA473" i="6"/>
  <c r="AB473" i="6"/>
  <c r="AC473" i="6"/>
  <c r="AD473" i="6"/>
  <c r="AE473" i="6"/>
  <c r="X474" i="6"/>
  <c r="Y474" i="6"/>
  <c r="Z474" i="6"/>
  <c r="AA474" i="6"/>
  <c r="AB474" i="6"/>
  <c r="AC474" i="6"/>
  <c r="AD474" i="6"/>
  <c r="AE474" i="6"/>
  <c r="X475" i="6"/>
  <c r="Y475" i="6"/>
  <c r="Z475" i="6"/>
  <c r="AA475" i="6"/>
  <c r="AB475" i="6"/>
  <c r="AC475" i="6"/>
  <c r="AD475" i="6"/>
  <c r="AE475" i="6"/>
  <c r="X476" i="6"/>
  <c r="Y476" i="6"/>
  <c r="Z476" i="6"/>
  <c r="AA476" i="6"/>
  <c r="AB476" i="6"/>
  <c r="AC476" i="6"/>
  <c r="AD476" i="6"/>
  <c r="AE476" i="6"/>
  <c r="X477" i="6"/>
  <c r="Y477" i="6"/>
  <c r="Z477" i="6"/>
  <c r="AA477" i="6"/>
  <c r="AB477" i="6"/>
  <c r="AC477" i="6"/>
  <c r="AD477" i="6"/>
  <c r="AE477" i="6"/>
  <c r="X478" i="6"/>
  <c r="Y478" i="6"/>
  <c r="Z478" i="6"/>
  <c r="AA478" i="6"/>
  <c r="AB478" i="6"/>
  <c r="AC478" i="6"/>
  <c r="AD478" i="6"/>
  <c r="AE478" i="6"/>
  <c r="X479" i="6"/>
  <c r="Y479" i="6"/>
  <c r="Z479" i="6"/>
  <c r="AA479" i="6"/>
  <c r="AB479" i="6"/>
  <c r="AC479" i="6"/>
  <c r="AD479" i="6"/>
  <c r="AE479" i="6"/>
  <c r="X480" i="6"/>
  <c r="Y480" i="6"/>
  <c r="Z480" i="6"/>
  <c r="AA480" i="6"/>
  <c r="AB480" i="6"/>
  <c r="AC480" i="6"/>
  <c r="AD480" i="6"/>
  <c r="AE480" i="6"/>
  <c r="X481" i="6"/>
  <c r="Y481" i="6"/>
  <c r="Z481" i="6"/>
  <c r="AA481" i="6"/>
  <c r="AB481" i="6"/>
  <c r="AC481" i="6"/>
  <c r="AD481" i="6"/>
  <c r="AE481" i="6"/>
  <c r="X482" i="6"/>
  <c r="Y482" i="6"/>
  <c r="Z482" i="6"/>
  <c r="AA482" i="6"/>
  <c r="AB482" i="6"/>
  <c r="AC482" i="6"/>
  <c r="AD482" i="6"/>
  <c r="AE482" i="6"/>
  <c r="X483" i="6"/>
  <c r="Y483" i="6"/>
  <c r="Z483" i="6"/>
  <c r="AA483" i="6"/>
  <c r="AB483" i="6"/>
  <c r="AC483" i="6"/>
  <c r="AD483" i="6"/>
  <c r="AE483" i="6"/>
  <c r="X484" i="6"/>
  <c r="Y484" i="6"/>
  <c r="Z484" i="6"/>
  <c r="AA484" i="6"/>
  <c r="AB484" i="6"/>
  <c r="AC484" i="6"/>
  <c r="AD484" i="6"/>
  <c r="AE484" i="6"/>
  <c r="X485" i="6"/>
  <c r="Y485" i="6"/>
  <c r="Z485" i="6"/>
  <c r="AA485" i="6"/>
  <c r="AB485" i="6"/>
  <c r="AC485" i="6"/>
  <c r="AD485" i="6"/>
  <c r="AE485" i="6"/>
  <c r="X486" i="6"/>
  <c r="Y486" i="6"/>
  <c r="Z486" i="6"/>
  <c r="AA486" i="6"/>
  <c r="AB486" i="6"/>
  <c r="AC486" i="6"/>
  <c r="AD486" i="6"/>
  <c r="AE486" i="6"/>
  <c r="AE355" i="6"/>
  <c r="AD355" i="6"/>
  <c r="AC355" i="6"/>
  <c r="AB355" i="6"/>
  <c r="AA355" i="6"/>
  <c r="Z355" i="6"/>
  <c r="Y355" i="6"/>
  <c r="X355" i="6"/>
  <c r="X158" i="6"/>
  <c r="Y158" i="6"/>
  <c r="Z158" i="6"/>
  <c r="AA158" i="6"/>
  <c r="AB158" i="6"/>
  <c r="AC158" i="6"/>
  <c r="AD158" i="6"/>
  <c r="AE158" i="6"/>
  <c r="X159" i="6"/>
  <c r="Y159" i="6"/>
  <c r="Z159" i="6"/>
  <c r="AA159" i="6"/>
  <c r="AB159" i="6"/>
  <c r="AC159" i="6"/>
  <c r="AD159" i="6"/>
  <c r="AE159" i="6"/>
  <c r="X160" i="6"/>
  <c r="Y160" i="6"/>
  <c r="Z160" i="6"/>
  <c r="AA160" i="6"/>
  <c r="AB160" i="6"/>
  <c r="AC160" i="6"/>
  <c r="AD160" i="6"/>
  <c r="AE160" i="6"/>
  <c r="X161" i="6"/>
  <c r="Y161" i="6"/>
  <c r="Z161" i="6"/>
  <c r="AA161" i="6"/>
  <c r="AB161" i="6"/>
  <c r="AC161" i="6"/>
  <c r="AD161" i="6"/>
  <c r="AE161" i="6"/>
  <c r="X162" i="6"/>
  <c r="Y162" i="6"/>
  <c r="Z162" i="6"/>
  <c r="AA162" i="6"/>
  <c r="AB162" i="6"/>
  <c r="AC162" i="6"/>
  <c r="AD162" i="6"/>
  <c r="AE162" i="6"/>
  <c r="X163" i="6"/>
  <c r="Y163" i="6"/>
  <c r="Z163" i="6"/>
  <c r="AA163" i="6"/>
  <c r="AB163" i="6"/>
  <c r="AC163" i="6"/>
  <c r="AD163" i="6"/>
  <c r="AE163" i="6"/>
  <c r="X164" i="6"/>
  <c r="Y164" i="6"/>
  <c r="Z164" i="6"/>
  <c r="AA164" i="6"/>
  <c r="AB164" i="6"/>
  <c r="AC164" i="6"/>
  <c r="AD164" i="6"/>
  <c r="AE164" i="6"/>
  <c r="X165" i="6"/>
  <c r="Y165" i="6"/>
  <c r="Z165" i="6"/>
  <c r="AA165" i="6"/>
  <c r="AB165" i="6"/>
  <c r="AC165" i="6"/>
  <c r="AD165" i="6"/>
  <c r="AE165" i="6"/>
  <c r="X166" i="6"/>
  <c r="Y166" i="6"/>
  <c r="Z166" i="6"/>
  <c r="AA166" i="6"/>
  <c r="AB166" i="6"/>
  <c r="AC166" i="6"/>
  <c r="AD166" i="6"/>
  <c r="AE166" i="6"/>
  <c r="X167" i="6"/>
  <c r="Y167" i="6"/>
  <c r="Z167" i="6"/>
  <c r="AA167" i="6"/>
  <c r="AB167" i="6"/>
  <c r="AC167" i="6"/>
  <c r="AD167" i="6"/>
  <c r="AE167" i="6"/>
  <c r="X168" i="6"/>
  <c r="Y168" i="6"/>
  <c r="Z168" i="6"/>
  <c r="AA168" i="6"/>
  <c r="AB168" i="6"/>
  <c r="AC168" i="6"/>
  <c r="AD168" i="6"/>
  <c r="AE168" i="6"/>
  <c r="X169" i="6"/>
  <c r="Y169" i="6"/>
  <c r="Z169" i="6"/>
  <c r="AA169" i="6"/>
  <c r="AB169" i="6"/>
  <c r="AC169" i="6"/>
  <c r="AD169" i="6"/>
  <c r="AE169" i="6"/>
  <c r="X170" i="6"/>
  <c r="Y170" i="6"/>
  <c r="Z170" i="6"/>
  <c r="AA170" i="6"/>
  <c r="AB170" i="6"/>
  <c r="AC170" i="6"/>
  <c r="AD170" i="6"/>
  <c r="AE170" i="6"/>
  <c r="X171" i="6"/>
  <c r="Y171" i="6"/>
  <c r="Z171" i="6"/>
  <c r="AA171" i="6"/>
  <c r="AB171" i="6"/>
  <c r="AC171" i="6"/>
  <c r="AD171" i="6"/>
  <c r="AE171" i="6"/>
  <c r="X172" i="6"/>
  <c r="Y172" i="6"/>
  <c r="Z172" i="6"/>
  <c r="AA172" i="6"/>
  <c r="AB172" i="6"/>
  <c r="AC172" i="6"/>
  <c r="AD172" i="6"/>
  <c r="AE172" i="6"/>
  <c r="X173" i="6"/>
  <c r="Y173" i="6"/>
  <c r="Z173" i="6"/>
  <c r="AA173" i="6"/>
  <c r="AB173" i="6"/>
  <c r="AC173" i="6"/>
  <c r="AD173" i="6"/>
  <c r="AE173" i="6"/>
  <c r="X174" i="6"/>
  <c r="Y174" i="6"/>
  <c r="Z174" i="6"/>
  <c r="AA174" i="6"/>
  <c r="AB174" i="6"/>
  <c r="AC174" i="6"/>
  <c r="AD174" i="6"/>
  <c r="AE174" i="6"/>
  <c r="X175" i="6"/>
  <c r="Y175" i="6"/>
  <c r="Z175" i="6"/>
  <c r="AA175" i="6"/>
  <c r="AB175" i="6"/>
  <c r="AC175" i="6"/>
  <c r="AD175" i="6"/>
  <c r="AE175" i="6"/>
  <c r="X176" i="6"/>
  <c r="Y176" i="6"/>
  <c r="Z176" i="6"/>
  <c r="AA176" i="6"/>
  <c r="AB176" i="6"/>
  <c r="AC176" i="6"/>
  <c r="AD176" i="6"/>
  <c r="AE176" i="6"/>
  <c r="X177" i="6"/>
  <c r="Y177" i="6"/>
  <c r="Z177" i="6"/>
  <c r="AA177" i="6"/>
  <c r="AB177" i="6"/>
  <c r="AC177" i="6"/>
  <c r="AD177" i="6"/>
  <c r="AE177" i="6"/>
  <c r="X178" i="6"/>
  <c r="Y178" i="6"/>
  <c r="Z178" i="6"/>
  <c r="AA178" i="6"/>
  <c r="AB178" i="6"/>
  <c r="AC178" i="6"/>
  <c r="AD178" i="6"/>
  <c r="AE178" i="6"/>
  <c r="X179" i="6"/>
  <c r="Y179" i="6"/>
  <c r="Z179" i="6"/>
  <c r="AA179" i="6"/>
  <c r="AB179" i="6"/>
  <c r="AC179" i="6"/>
  <c r="AD179" i="6"/>
  <c r="AE179" i="6"/>
  <c r="X180" i="6"/>
  <c r="Y180" i="6"/>
  <c r="Z180" i="6"/>
  <c r="AA180" i="6"/>
  <c r="AB180" i="6"/>
  <c r="AC180" i="6"/>
  <c r="AD180" i="6"/>
  <c r="AE180" i="6"/>
  <c r="X181" i="6"/>
  <c r="Y181" i="6"/>
  <c r="Z181" i="6"/>
  <c r="AA181" i="6"/>
  <c r="AB181" i="6"/>
  <c r="AC181" i="6"/>
  <c r="AD181" i="6"/>
  <c r="AE181" i="6"/>
  <c r="X182" i="6"/>
  <c r="Y182" i="6"/>
  <c r="Z182" i="6"/>
  <c r="AA182" i="6"/>
  <c r="AB182" i="6"/>
  <c r="AC182" i="6"/>
  <c r="AD182" i="6"/>
  <c r="AE182" i="6"/>
  <c r="X183" i="6"/>
  <c r="Y183" i="6"/>
  <c r="Z183" i="6"/>
  <c r="AA183" i="6"/>
  <c r="AB183" i="6"/>
  <c r="AC183" i="6"/>
  <c r="AD183" i="6"/>
  <c r="AE183" i="6"/>
  <c r="X184" i="6"/>
  <c r="Y184" i="6"/>
  <c r="Z184" i="6"/>
  <c r="AA184" i="6"/>
  <c r="AB184" i="6"/>
  <c r="AC184" i="6"/>
  <c r="AD184" i="6"/>
  <c r="AE184" i="6"/>
  <c r="X185" i="6"/>
  <c r="Y185" i="6"/>
  <c r="Z185" i="6"/>
  <c r="AA185" i="6"/>
  <c r="AB185" i="6"/>
  <c r="AC185" i="6"/>
  <c r="AD185" i="6"/>
  <c r="AE185" i="6"/>
  <c r="X186" i="6"/>
  <c r="Y186" i="6"/>
  <c r="Z186" i="6"/>
  <c r="AA186" i="6"/>
  <c r="AB186" i="6"/>
  <c r="AC186" i="6"/>
  <c r="AD186" i="6"/>
  <c r="AE186" i="6"/>
  <c r="X187" i="6"/>
  <c r="Y187" i="6"/>
  <c r="Z187" i="6"/>
  <c r="AA187" i="6"/>
  <c r="AB187" i="6"/>
  <c r="AC187" i="6"/>
  <c r="AD187" i="6"/>
  <c r="AE187" i="6"/>
  <c r="X188" i="6"/>
  <c r="Y188" i="6"/>
  <c r="Z188" i="6"/>
  <c r="AA188" i="6"/>
  <c r="AB188" i="6"/>
  <c r="AC188" i="6"/>
  <c r="AD188" i="6"/>
  <c r="AE188" i="6"/>
  <c r="X189" i="6"/>
  <c r="Y189" i="6"/>
  <c r="Z189" i="6"/>
  <c r="AA189" i="6"/>
  <c r="AB189" i="6"/>
  <c r="AC189" i="6"/>
  <c r="AD189" i="6"/>
  <c r="AE189" i="6"/>
  <c r="X190" i="6"/>
  <c r="Y190" i="6"/>
  <c r="Z190" i="6"/>
  <c r="AA190" i="6"/>
  <c r="AB190" i="6"/>
  <c r="AC190" i="6"/>
  <c r="AD190" i="6"/>
  <c r="AE190" i="6"/>
  <c r="X191" i="6"/>
  <c r="Y191" i="6"/>
  <c r="Z191" i="6"/>
  <c r="AA191" i="6"/>
  <c r="AB191" i="6"/>
  <c r="AC191" i="6"/>
  <c r="AD191" i="6"/>
  <c r="AE191" i="6"/>
  <c r="X192" i="6"/>
  <c r="Y192" i="6"/>
  <c r="Z192" i="6"/>
  <c r="AA192" i="6"/>
  <c r="AB192" i="6"/>
  <c r="AC192" i="6"/>
  <c r="AD192" i="6"/>
  <c r="AE192" i="6"/>
  <c r="X193" i="6"/>
  <c r="Y193" i="6"/>
  <c r="Z193" i="6"/>
  <c r="AA193" i="6"/>
  <c r="AB193" i="6"/>
  <c r="AC193" i="6"/>
  <c r="AD193" i="6"/>
  <c r="AE193" i="6"/>
  <c r="X194" i="6"/>
  <c r="Y194" i="6"/>
  <c r="Z194" i="6"/>
  <c r="AA194" i="6"/>
  <c r="AB194" i="6"/>
  <c r="AC194" i="6"/>
  <c r="AD194" i="6"/>
  <c r="AE194" i="6"/>
  <c r="X195" i="6"/>
  <c r="Y195" i="6"/>
  <c r="Z195" i="6"/>
  <c r="AA195" i="6"/>
  <c r="AB195" i="6"/>
  <c r="AC195" i="6"/>
  <c r="AD195" i="6"/>
  <c r="AE195" i="6"/>
  <c r="X196" i="6"/>
  <c r="Y196" i="6"/>
  <c r="Z196" i="6"/>
  <c r="AA196" i="6"/>
  <c r="AB196" i="6"/>
  <c r="AC196" i="6"/>
  <c r="AD196" i="6"/>
  <c r="AE196" i="6"/>
  <c r="X197" i="6"/>
  <c r="Y197" i="6"/>
  <c r="Z197" i="6"/>
  <c r="AA197" i="6"/>
  <c r="AB197" i="6"/>
  <c r="AC197" i="6"/>
  <c r="AD197" i="6"/>
  <c r="AE197" i="6"/>
  <c r="X198" i="6"/>
  <c r="Y198" i="6"/>
  <c r="Z198" i="6"/>
  <c r="AA198" i="6"/>
  <c r="AB198" i="6"/>
  <c r="AC198" i="6"/>
  <c r="AD198" i="6"/>
  <c r="AE198" i="6"/>
  <c r="X199" i="6"/>
  <c r="Y199" i="6"/>
  <c r="Z199" i="6"/>
  <c r="AA199" i="6"/>
  <c r="AB199" i="6"/>
  <c r="AC199" i="6"/>
  <c r="AD199" i="6"/>
  <c r="AE199" i="6"/>
  <c r="X200" i="6"/>
  <c r="Y200" i="6"/>
  <c r="Z200" i="6"/>
  <c r="AA200" i="6"/>
  <c r="AB200" i="6"/>
  <c r="AC200" i="6"/>
  <c r="AD200" i="6"/>
  <c r="AE200" i="6"/>
  <c r="X201" i="6"/>
  <c r="Y201" i="6"/>
  <c r="Z201" i="6"/>
  <c r="AA201" i="6"/>
  <c r="AB201" i="6"/>
  <c r="AC201" i="6"/>
  <c r="AD201" i="6"/>
  <c r="AE201" i="6"/>
  <c r="X202" i="6"/>
  <c r="Y202" i="6"/>
  <c r="Z202" i="6"/>
  <c r="AA202" i="6"/>
  <c r="AB202" i="6"/>
  <c r="AC202" i="6"/>
  <c r="AD202" i="6"/>
  <c r="AE202" i="6"/>
  <c r="X203" i="6"/>
  <c r="Y203" i="6"/>
  <c r="Z203" i="6"/>
  <c r="AA203" i="6"/>
  <c r="AB203" i="6"/>
  <c r="AC203" i="6"/>
  <c r="AD203" i="6"/>
  <c r="AE203" i="6"/>
  <c r="X204" i="6"/>
  <c r="Y204" i="6"/>
  <c r="Z204" i="6"/>
  <c r="AA204" i="6"/>
  <c r="AB204" i="6"/>
  <c r="AC204" i="6"/>
  <c r="AD204" i="6"/>
  <c r="AE204" i="6"/>
  <c r="X205" i="6"/>
  <c r="Y205" i="6"/>
  <c r="Z205" i="6"/>
  <c r="AA205" i="6"/>
  <c r="AB205" i="6"/>
  <c r="AC205" i="6"/>
  <c r="AD205" i="6"/>
  <c r="AE205" i="6"/>
  <c r="X206" i="6"/>
  <c r="Y206" i="6"/>
  <c r="Z206" i="6"/>
  <c r="AA206" i="6"/>
  <c r="AB206" i="6"/>
  <c r="AC206" i="6"/>
  <c r="AD206" i="6"/>
  <c r="AE206" i="6"/>
  <c r="X207" i="6"/>
  <c r="Y207" i="6"/>
  <c r="Z207" i="6"/>
  <c r="AA207" i="6"/>
  <c r="AB207" i="6"/>
  <c r="AC207" i="6"/>
  <c r="AD207" i="6"/>
  <c r="AE207" i="6"/>
  <c r="X208" i="6"/>
  <c r="Y208" i="6"/>
  <c r="Z208" i="6"/>
  <c r="AA208" i="6"/>
  <c r="AB208" i="6"/>
  <c r="AC208" i="6"/>
  <c r="AD208" i="6"/>
  <c r="AE208" i="6"/>
  <c r="X209" i="6"/>
  <c r="Y209" i="6"/>
  <c r="Z209" i="6"/>
  <c r="AA209" i="6"/>
  <c r="AB209" i="6"/>
  <c r="AC209" i="6"/>
  <c r="AD209" i="6"/>
  <c r="AE209" i="6"/>
  <c r="X210" i="6"/>
  <c r="Y210" i="6"/>
  <c r="Z210" i="6"/>
  <c r="AA210" i="6"/>
  <c r="AB210" i="6"/>
  <c r="AC210" i="6"/>
  <c r="AD210" i="6"/>
  <c r="AE210" i="6"/>
  <c r="X211" i="6"/>
  <c r="Y211" i="6"/>
  <c r="Z211" i="6"/>
  <c r="AA211" i="6"/>
  <c r="AB211" i="6"/>
  <c r="AC211" i="6"/>
  <c r="AD211" i="6"/>
  <c r="AE211" i="6"/>
  <c r="X212" i="6"/>
  <c r="Y212" i="6"/>
  <c r="Z212" i="6"/>
  <c r="AA212" i="6"/>
  <c r="AB212" i="6"/>
  <c r="AC212" i="6"/>
  <c r="AD212" i="6"/>
  <c r="AE212" i="6"/>
  <c r="X213" i="6"/>
  <c r="Y213" i="6"/>
  <c r="Z213" i="6"/>
  <c r="AA213" i="6"/>
  <c r="AB213" i="6"/>
  <c r="AC213" i="6"/>
  <c r="AD213" i="6"/>
  <c r="AE213" i="6"/>
  <c r="X214" i="6"/>
  <c r="Y214" i="6"/>
  <c r="Z214" i="6"/>
  <c r="AA214" i="6"/>
  <c r="AB214" i="6"/>
  <c r="AC214" i="6"/>
  <c r="AD214" i="6"/>
  <c r="AE214" i="6"/>
  <c r="X215" i="6"/>
  <c r="Y215" i="6"/>
  <c r="Z215" i="6"/>
  <c r="AA215" i="6"/>
  <c r="AB215" i="6"/>
  <c r="AC215" i="6"/>
  <c r="AD215" i="6"/>
  <c r="AE215" i="6"/>
  <c r="X216" i="6"/>
  <c r="Y216" i="6"/>
  <c r="Z216" i="6"/>
  <c r="AA216" i="6"/>
  <c r="AB216" i="6"/>
  <c r="AC216" i="6"/>
  <c r="AD216" i="6"/>
  <c r="AE216" i="6"/>
  <c r="X217" i="6"/>
  <c r="Y217" i="6"/>
  <c r="Z217" i="6"/>
  <c r="AA217" i="6"/>
  <c r="AB217" i="6"/>
  <c r="AC217" i="6"/>
  <c r="AD217" i="6"/>
  <c r="AE217" i="6"/>
  <c r="X218" i="6"/>
  <c r="Y218" i="6"/>
  <c r="Z218" i="6"/>
  <c r="AA218" i="6"/>
  <c r="AB218" i="6"/>
  <c r="AC218" i="6"/>
  <c r="AD218" i="6"/>
  <c r="AE218" i="6"/>
  <c r="X219" i="6"/>
  <c r="Y219" i="6"/>
  <c r="Z219" i="6"/>
  <c r="AA219" i="6"/>
  <c r="AB219" i="6"/>
  <c r="AC219" i="6"/>
  <c r="AD219" i="6"/>
  <c r="AE219" i="6"/>
  <c r="X220" i="6"/>
  <c r="Y220" i="6"/>
  <c r="Z220" i="6"/>
  <c r="AA220" i="6"/>
  <c r="AB220" i="6"/>
  <c r="AC220" i="6"/>
  <c r="AD220" i="6"/>
  <c r="AE220" i="6"/>
  <c r="X221" i="6"/>
  <c r="Y221" i="6"/>
  <c r="Z221" i="6"/>
  <c r="AA221" i="6"/>
  <c r="AB221" i="6"/>
  <c r="AC221" i="6"/>
  <c r="AD221" i="6"/>
  <c r="AE221" i="6"/>
  <c r="X222" i="6"/>
  <c r="Y222" i="6"/>
  <c r="Z222" i="6"/>
  <c r="AA222" i="6"/>
  <c r="AB222" i="6"/>
  <c r="AC222" i="6"/>
  <c r="AD222" i="6"/>
  <c r="AE222" i="6"/>
  <c r="X223" i="6"/>
  <c r="Y223" i="6"/>
  <c r="Z223" i="6"/>
  <c r="AA223" i="6"/>
  <c r="AB223" i="6"/>
  <c r="AC223" i="6"/>
  <c r="AD223" i="6"/>
  <c r="AE223" i="6"/>
  <c r="X224" i="6"/>
  <c r="Y224" i="6"/>
  <c r="Z224" i="6"/>
  <c r="AA224" i="6"/>
  <c r="AB224" i="6"/>
  <c r="AC224" i="6"/>
  <c r="AD224" i="6"/>
  <c r="AE224" i="6"/>
  <c r="X225" i="6"/>
  <c r="Y225" i="6"/>
  <c r="Z225" i="6"/>
  <c r="AA225" i="6"/>
  <c r="AB225" i="6"/>
  <c r="AC225" i="6"/>
  <c r="AD225" i="6"/>
  <c r="AE225" i="6"/>
  <c r="X226" i="6"/>
  <c r="Y226" i="6"/>
  <c r="Z226" i="6"/>
  <c r="AA226" i="6"/>
  <c r="AB226" i="6"/>
  <c r="AC226" i="6"/>
  <c r="AD226" i="6"/>
  <c r="AE226" i="6"/>
  <c r="X227" i="6"/>
  <c r="Y227" i="6"/>
  <c r="Z227" i="6"/>
  <c r="AA227" i="6"/>
  <c r="AB227" i="6"/>
  <c r="AC227" i="6"/>
  <c r="AD227" i="6"/>
  <c r="AE227" i="6"/>
  <c r="X228" i="6"/>
  <c r="Y228" i="6"/>
  <c r="Z228" i="6"/>
  <c r="AA228" i="6"/>
  <c r="AB228" i="6"/>
  <c r="AC228" i="6"/>
  <c r="AD228" i="6"/>
  <c r="AE228" i="6"/>
  <c r="X229" i="6"/>
  <c r="Y229" i="6"/>
  <c r="Z229" i="6"/>
  <c r="AA229" i="6"/>
  <c r="AB229" i="6"/>
  <c r="AC229" i="6"/>
  <c r="AD229" i="6"/>
  <c r="AE229" i="6"/>
  <c r="X230" i="6"/>
  <c r="Y230" i="6"/>
  <c r="Z230" i="6"/>
  <c r="AA230" i="6"/>
  <c r="AB230" i="6"/>
  <c r="AC230" i="6"/>
  <c r="AD230" i="6"/>
  <c r="AE230" i="6"/>
  <c r="X231" i="6"/>
  <c r="Y231" i="6"/>
  <c r="Z231" i="6"/>
  <c r="AA231" i="6"/>
  <c r="AB231" i="6"/>
  <c r="AC231" i="6"/>
  <c r="AD231" i="6"/>
  <c r="AE231" i="6"/>
  <c r="X232" i="6"/>
  <c r="Y232" i="6"/>
  <c r="Z232" i="6"/>
  <c r="AA232" i="6"/>
  <c r="AB232" i="6"/>
  <c r="AC232" i="6"/>
  <c r="AD232" i="6"/>
  <c r="AE232" i="6"/>
  <c r="X233" i="6"/>
  <c r="Y233" i="6"/>
  <c r="Z233" i="6"/>
  <c r="AA233" i="6"/>
  <c r="AB233" i="6"/>
  <c r="AC233" i="6"/>
  <c r="AD233" i="6"/>
  <c r="AE233" i="6"/>
  <c r="X234" i="6"/>
  <c r="Y234" i="6"/>
  <c r="Z234" i="6"/>
  <c r="AA234" i="6"/>
  <c r="AB234" i="6"/>
  <c r="AC234" i="6"/>
  <c r="AD234" i="6"/>
  <c r="AE234" i="6"/>
  <c r="X235" i="6"/>
  <c r="Y235" i="6"/>
  <c r="Z235" i="6"/>
  <c r="AA235" i="6"/>
  <c r="AB235" i="6"/>
  <c r="AC235" i="6"/>
  <c r="AD235" i="6"/>
  <c r="AE235" i="6"/>
  <c r="X236" i="6"/>
  <c r="Y236" i="6"/>
  <c r="Z236" i="6"/>
  <c r="AA236" i="6"/>
  <c r="AB236" i="6"/>
  <c r="AC236" i="6"/>
  <c r="AD236" i="6"/>
  <c r="AE236" i="6"/>
  <c r="X237" i="6"/>
  <c r="Y237" i="6"/>
  <c r="Z237" i="6"/>
  <c r="AA237" i="6"/>
  <c r="AB237" i="6"/>
  <c r="AC237" i="6"/>
  <c r="AD237" i="6"/>
  <c r="AE237" i="6"/>
  <c r="X238" i="6"/>
  <c r="Y238" i="6"/>
  <c r="Z238" i="6"/>
  <c r="AA238" i="6"/>
  <c r="AB238" i="6"/>
  <c r="AC238" i="6"/>
  <c r="AD238" i="6"/>
  <c r="AE238" i="6"/>
  <c r="X239" i="6"/>
  <c r="Y239" i="6"/>
  <c r="Z239" i="6"/>
  <c r="AA239" i="6"/>
  <c r="AB239" i="6"/>
  <c r="AC239" i="6"/>
  <c r="AD239" i="6"/>
  <c r="AE239" i="6"/>
  <c r="X240" i="6"/>
  <c r="Y240" i="6"/>
  <c r="Z240" i="6"/>
  <c r="AA240" i="6"/>
  <c r="AB240" i="6"/>
  <c r="AC240" i="6"/>
  <c r="AD240" i="6"/>
  <c r="AE240" i="6"/>
  <c r="X241" i="6"/>
  <c r="Y241" i="6"/>
  <c r="Z241" i="6"/>
  <c r="AA241" i="6"/>
  <c r="AB241" i="6"/>
  <c r="AC241" i="6"/>
  <c r="AD241" i="6"/>
  <c r="AE241" i="6"/>
  <c r="X242" i="6"/>
  <c r="Y242" i="6"/>
  <c r="Z242" i="6"/>
  <c r="AA242" i="6"/>
  <c r="AB242" i="6"/>
  <c r="AC242" i="6"/>
  <c r="AD242" i="6"/>
  <c r="AE242" i="6"/>
  <c r="X243" i="6"/>
  <c r="Y243" i="6"/>
  <c r="Z243" i="6"/>
  <c r="AA243" i="6"/>
  <c r="AB243" i="6"/>
  <c r="AC243" i="6"/>
  <c r="AD243" i="6"/>
  <c r="AE243" i="6"/>
  <c r="X244" i="6"/>
  <c r="Y244" i="6"/>
  <c r="Z244" i="6"/>
  <c r="AA244" i="6"/>
  <c r="AB244" i="6"/>
  <c r="AC244" i="6"/>
  <c r="AD244" i="6"/>
  <c r="AE244" i="6"/>
  <c r="X245" i="6"/>
  <c r="Y245" i="6"/>
  <c r="Z245" i="6"/>
  <c r="AA245" i="6"/>
  <c r="AB245" i="6"/>
  <c r="AC245" i="6"/>
  <c r="AD245" i="6"/>
  <c r="AE245" i="6"/>
  <c r="X246" i="6"/>
  <c r="Y246" i="6"/>
  <c r="Z246" i="6"/>
  <c r="AA246" i="6"/>
  <c r="AB246" i="6"/>
  <c r="AC246" i="6"/>
  <c r="AD246" i="6"/>
  <c r="AE246" i="6"/>
  <c r="X247" i="6"/>
  <c r="Y247" i="6"/>
  <c r="Z247" i="6"/>
  <c r="AA247" i="6"/>
  <c r="AB247" i="6"/>
  <c r="AC247" i="6"/>
  <c r="AD247" i="6"/>
  <c r="AE247" i="6"/>
  <c r="X248" i="6"/>
  <c r="Y248" i="6"/>
  <c r="Z248" i="6"/>
  <c r="AA248" i="6"/>
  <c r="AB248" i="6"/>
  <c r="AC248" i="6"/>
  <c r="AD248" i="6"/>
  <c r="AE248" i="6"/>
  <c r="X249" i="6"/>
  <c r="Y249" i="6"/>
  <c r="Z249" i="6"/>
  <c r="AA249" i="6"/>
  <c r="AB249" i="6"/>
  <c r="AC249" i="6"/>
  <c r="AD249" i="6"/>
  <c r="AE249" i="6"/>
  <c r="X250" i="6"/>
  <c r="Y250" i="6"/>
  <c r="Z250" i="6"/>
  <c r="AA250" i="6"/>
  <c r="AB250" i="6"/>
  <c r="AC250" i="6"/>
  <c r="AD250" i="6"/>
  <c r="AE250" i="6"/>
  <c r="X251" i="6"/>
  <c r="Y251" i="6"/>
  <c r="Z251" i="6"/>
  <c r="AA251" i="6"/>
  <c r="AB251" i="6"/>
  <c r="AC251" i="6"/>
  <c r="AD251" i="6"/>
  <c r="AE251" i="6"/>
  <c r="X252" i="6"/>
  <c r="Y252" i="6"/>
  <c r="Z252" i="6"/>
  <c r="AA252" i="6"/>
  <c r="AB252" i="6"/>
  <c r="AC252" i="6"/>
  <c r="AD252" i="6"/>
  <c r="AE252" i="6"/>
  <c r="X253" i="6"/>
  <c r="Y253" i="6"/>
  <c r="Z253" i="6"/>
  <c r="AA253" i="6"/>
  <c r="AB253" i="6"/>
  <c r="AC253" i="6"/>
  <c r="AD253" i="6"/>
  <c r="AE253" i="6"/>
  <c r="X254" i="6"/>
  <c r="Y254" i="6"/>
  <c r="Z254" i="6"/>
  <c r="AA254" i="6"/>
  <c r="AB254" i="6"/>
  <c r="AC254" i="6"/>
  <c r="AD254" i="6"/>
  <c r="AE254" i="6"/>
  <c r="X255" i="6"/>
  <c r="Y255" i="6"/>
  <c r="Z255" i="6"/>
  <c r="AA255" i="6"/>
  <c r="AB255" i="6"/>
  <c r="AC255" i="6"/>
  <c r="AD255" i="6"/>
  <c r="AE255" i="6"/>
  <c r="X256" i="6"/>
  <c r="Y256" i="6"/>
  <c r="Z256" i="6"/>
  <c r="AA256" i="6"/>
  <c r="AB256" i="6"/>
  <c r="AC256" i="6"/>
  <c r="AD256" i="6"/>
  <c r="AE256" i="6"/>
  <c r="X257" i="6"/>
  <c r="Y257" i="6"/>
  <c r="Z257" i="6"/>
  <c r="AA257" i="6"/>
  <c r="AB257" i="6"/>
  <c r="AC257" i="6"/>
  <c r="AD257" i="6"/>
  <c r="AE257" i="6"/>
  <c r="X258" i="6"/>
  <c r="Y258" i="6"/>
  <c r="Z258" i="6"/>
  <c r="AA258" i="6"/>
  <c r="AB258" i="6"/>
  <c r="AC258" i="6"/>
  <c r="AD258" i="6"/>
  <c r="AE258" i="6"/>
  <c r="X259" i="6"/>
  <c r="Y259" i="6"/>
  <c r="Z259" i="6"/>
  <c r="AA259" i="6"/>
  <c r="AB259" i="6"/>
  <c r="AC259" i="6"/>
  <c r="AD259" i="6"/>
  <c r="AE259" i="6"/>
  <c r="X260" i="6"/>
  <c r="Y260" i="6"/>
  <c r="Z260" i="6"/>
  <c r="AA260" i="6"/>
  <c r="AB260" i="6"/>
  <c r="AC260" i="6"/>
  <c r="AD260" i="6"/>
  <c r="AE260" i="6"/>
  <c r="X261" i="6"/>
  <c r="Y261" i="6"/>
  <c r="Z261" i="6"/>
  <c r="AA261" i="6"/>
  <c r="AB261" i="6"/>
  <c r="AC261" i="6"/>
  <c r="AD261" i="6"/>
  <c r="AE261" i="6"/>
  <c r="X262" i="6"/>
  <c r="Y262" i="6"/>
  <c r="Z262" i="6"/>
  <c r="AA262" i="6"/>
  <c r="AB262" i="6"/>
  <c r="AC262" i="6"/>
  <c r="AD262" i="6"/>
  <c r="AE262" i="6"/>
  <c r="X263" i="6"/>
  <c r="Y263" i="6"/>
  <c r="Z263" i="6"/>
  <c r="AA263" i="6"/>
  <c r="AB263" i="6"/>
  <c r="AC263" i="6"/>
  <c r="AD263" i="6"/>
  <c r="AE263" i="6"/>
  <c r="X264" i="6"/>
  <c r="Y264" i="6"/>
  <c r="Z264" i="6"/>
  <c r="AA264" i="6"/>
  <c r="AB264" i="6"/>
  <c r="AC264" i="6"/>
  <c r="AD264" i="6"/>
  <c r="AE264" i="6"/>
  <c r="X265" i="6"/>
  <c r="Y265" i="6"/>
  <c r="Z265" i="6"/>
  <c r="AA265" i="6"/>
  <c r="AB265" i="6"/>
  <c r="AC265" i="6"/>
  <c r="AD265" i="6"/>
  <c r="AE265" i="6"/>
  <c r="X266" i="6"/>
  <c r="Y266" i="6"/>
  <c r="Z266" i="6"/>
  <c r="AA266" i="6"/>
  <c r="AB266" i="6"/>
  <c r="AC266" i="6"/>
  <c r="AD266" i="6"/>
  <c r="AE266" i="6"/>
  <c r="X267" i="6"/>
  <c r="Y267" i="6"/>
  <c r="Z267" i="6"/>
  <c r="AA267" i="6"/>
  <c r="AB267" i="6"/>
  <c r="AC267" i="6"/>
  <c r="AD267" i="6"/>
  <c r="AE267" i="6"/>
  <c r="X268" i="6"/>
  <c r="Y268" i="6"/>
  <c r="Z268" i="6"/>
  <c r="AA268" i="6"/>
  <c r="AB268" i="6"/>
  <c r="AC268" i="6"/>
  <c r="AD268" i="6"/>
  <c r="AE268" i="6"/>
  <c r="X269" i="6"/>
  <c r="Y269" i="6"/>
  <c r="Z269" i="6"/>
  <c r="AA269" i="6"/>
  <c r="AB269" i="6"/>
  <c r="AC269" i="6"/>
  <c r="AD269" i="6"/>
  <c r="AE269" i="6"/>
  <c r="X270" i="6"/>
  <c r="Y270" i="6"/>
  <c r="Z270" i="6"/>
  <c r="AA270" i="6"/>
  <c r="AB270" i="6"/>
  <c r="AC270" i="6"/>
  <c r="AD270" i="6"/>
  <c r="AE270" i="6"/>
  <c r="X271" i="6"/>
  <c r="Y271" i="6"/>
  <c r="Z271" i="6"/>
  <c r="AA271" i="6"/>
  <c r="AB271" i="6"/>
  <c r="AC271" i="6"/>
  <c r="AD271" i="6"/>
  <c r="AE271" i="6"/>
  <c r="X272" i="6"/>
  <c r="Y272" i="6"/>
  <c r="Z272" i="6"/>
  <c r="AA272" i="6"/>
  <c r="AB272" i="6"/>
  <c r="AC272" i="6"/>
  <c r="AD272" i="6"/>
  <c r="AE272" i="6"/>
  <c r="X273" i="6"/>
  <c r="Y273" i="6"/>
  <c r="Z273" i="6"/>
  <c r="AA273" i="6"/>
  <c r="AB273" i="6"/>
  <c r="AC273" i="6"/>
  <c r="AD273" i="6"/>
  <c r="AE273" i="6"/>
  <c r="X274" i="6"/>
  <c r="Y274" i="6"/>
  <c r="Z274" i="6"/>
  <c r="AA274" i="6"/>
  <c r="AB274" i="6"/>
  <c r="AC274" i="6"/>
  <c r="AD274" i="6"/>
  <c r="AE274" i="6"/>
  <c r="X275" i="6"/>
  <c r="Y275" i="6"/>
  <c r="Z275" i="6"/>
  <c r="AA275" i="6"/>
  <c r="AB275" i="6"/>
  <c r="AC275" i="6"/>
  <c r="AD275" i="6"/>
  <c r="AE275" i="6"/>
  <c r="X276" i="6"/>
  <c r="Y276" i="6"/>
  <c r="Z276" i="6"/>
  <c r="AA276" i="6"/>
  <c r="AB276" i="6"/>
  <c r="AC276" i="6"/>
  <c r="AD276" i="6"/>
  <c r="AE276" i="6"/>
  <c r="X277" i="6"/>
  <c r="Y277" i="6"/>
  <c r="Z277" i="6"/>
  <c r="AA277" i="6"/>
  <c r="AB277" i="6"/>
  <c r="AC277" i="6"/>
  <c r="AD277" i="6"/>
  <c r="AE277" i="6"/>
  <c r="X278" i="6"/>
  <c r="Y278" i="6"/>
  <c r="Z278" i="6"/>
  <c r="AA278" i="6"/>
  <c r="AB278" i="6"/>
  <c r="AC278" i="6"/>
  <c r="AD278" i="6"/>
  <c r="AE278" i="6"/>
  <c r="X279" i="6"/>
  <c r="Y279" i="6"/>
  <c r="Z279" i="6"/>
  <c r="AA279" i="6"/>
  <c r="AB279" i="6"/>
  <c r="AC279" i="6"/>
  <c r="AD279" i="6"/>
  <c r="AE279" i="6"/>
  <c r="X280" i="6"/>
  <c r="Y280" i="6"/>
  <c r="Z280" i="6"/>
  <c r="AA280" i="6"/>
  <c r="AB280" i="6"/>
  <c r="AC280" i="6"/>
  <c r="AD280" i="6"/>
  <c r="AE280" i="6"/>
  <c r="X281" i="6"/>
  <c r="Y281" i="6"/>
  <c r="Z281" i="6"/>
  <c r="AA281" i="6"/>
  <c r="AB281" i="6"/>
  <c r="AC281" i="6"/>
  <c r="AD281" i="6"/>
  <c r="AE281" i="6"/>
  <c r="X282" i="6"/>
  <c r="Y282" i="6"/>
  <c r="Z282" i="6"/>
  <c r="AA282" i="6"/>
  <c r="AB282" i="6"/>
  <c r="AC282" i="6"/>
  <c r="AD282" i="6"/>
  <c r="AE282" i="6"/>
  <c r="X283" i="6"/>
  <c r="Y283" i="6"/>
  <c r="Z283" i="6"/>
  <c r="AA283" i="6"/>
  <c r="AB283" i="6"/>
  <c r="AC283" i="6"/>
  <c r="AD283" i="6"/>
  <c r="AE283" i="6"/>
  <c r="X284" i="6"/>
  <c r="Y284" i="6"/>
  <c r="Z284" i="6"/>
  <c r="AA284" i="6"/>
  <c r="AB284" i="6"/>
  <c r="AC284" i="6"/>
  <c r="AD284" i="6"/>
  <c r="AE284" i="6"/>
  <c r="X285" i="6"/>
  <c r="Y285" i="6"/>
  <c r="Z285" i="6"/>
  <c r="AA285" i="6"/>
  <c r="AB285" i="6"/>
  <c r="AC285" i="6"/>
  <c r="AD285" i="6"/>
  <c r="AE285" i="6"/>
  <c r="X286" i="6"/>
  <c r="Y286" i="6"/>
  <c r="Z286" i="6"/>
  <c r="AA286" i="6"/>
  <c r="AB286" i="6"/>
  <c r="AC286" i="6"/>
  <c r="AD286" i="6"/>
  <c r="AE286" i="6"/>
  <c r="X287" i="6"/>
  <c r="Y287" i="6"/>
  <c r="Z287" i="6"/>
  <c r="AA287" i="6"/>
  <c r="AB287" i="6"/>
  <c r="AC287" i="6"/>
  <c r="AD287" i="6"/>
  <c r="AE287" i="6"/>
  <c r="X288" i="6"/>
  <c r="Y288" i="6"/>
  <c r="Z288" i="6"/>
  <c r="AA288" i="6"/>
  <c r="AB288" i="6"/>
  <c r="AC288" i="6"/>
  <c r="AD288" i="6"/>
  <c r="AE288" i="6"/>
  <c r="X289" i="6"/>
  <c r="Y289" i="6"/>
  <c r="Z289" i="6"/>
  <c r="AA289" i="6"/>
  <c r="AB289" i="6"/>
  <c r="AC289" i="6"/>
  <c r="AD289" i="6"/>
  <c r="AE289" i="6"/>
  <c r="X290" i="6"/>
  <c r="Y290" i="6"/>
  <c r="Z290" i="6"/>
  <c r="AA290" i="6"/>
  <c r="AB290" i="6"/>
  <c r="AC290" i="6"/>
  <c r="AD290" i="6"/>
  <c r="AE290" i="6"/>
  <c r="X291" i="6"/>
  <c r="Y291" i="6"/>
  <c r="Z291" i="6"/>
  <c r="AA291" i="6"/>
  <c r="AB291" i="6"/>
  <c r="AC291" i="6"/>
  <c r="AD291" i="6"/>
  <c r="AE291" i="6"/>
  <c r="X292" i="6"/>
  <c r="Y292" i="6"/>
  <c r="Z292" i="6"/>
  <c r="AA292" i="6"/>
  <c r="AB292" i="6"/>
  <c r="AC292" i="6"/>
  <c r="AD292" i="6"/>
  <c r="AE292" i="6"/>
  <c r="X293" i="6"/>
  <c r="Y293" i="6"/>
  <c r="Z293" i="6"/>
  <c r="AA293" i="6"/>
  <c r="AB293" i="6"/>
  <c r="AC293" i="6"/>
  <c r="AD293" i="6"/>
  <c r="AE293" i="6"/>
  <c r="X294" i="6"/>
  <c r="Y294" i="6"/>
  <c r="Z294" i="6"/>
  <c r="AA294" i="6"/>
  <c r="AB294" i="6"/>
  <c r="AC294" i="6"/>
  <c r="AD294" i="6"/>
  <c r="AE294" i="6"/>
  <c r="X295" i="6"/>
  <c r="Y295" i="6"/>
  <c r="Z295" i="6"/>
  <c r="AA295" i="6"/>
  <c r="AB295" i="6"/>
  <c r="AC295" i="6"/>
  <c r="AD295" i="6"/>
  <c r="AE295" i="6"/>
  <c r="X296" i="6"/>
  <c r="Y296" i="6"/>
  <c r="Z296" i="6"/>
  <c r="AA296" i="6"/>
  <c r="AB296" i="6"/>
  <c r="AC296" i="6"/>
  <c r="AD296" i="6"/>
  <c r="AE296" i="6"/>
  <c r="X297" i="6"/>
  <c r="Y297" i="6"/>
  <c r="Z297" i="6"/>
  <c r="AA297" i="6"/>
  <c r="AB297" i="6"/>
  <c r="AC297" i="6"/>
  <c r="AD297" i="6"/>
  <c r="AE297" i="6"/>
  <c r="X298" i="6"/>
  <c r="Y298" i="6"/>
  <c r="Z298" i="6"/>
  <c r="AA298" i="6"/>
  <c r="AB298" i="6"/>
  <c r="AC298" i="6"/>
  <c r="AD298" i="6"/>
  <c r="AE298" i="6"/>
  <c r="X299" i="6"/>
  <c r="Y299" i="6"/>
  <c r="Z299" i="6"/>
  <c r="AA299" i="6"/>
  <c r="AB299" i="6"/>
  <c r="AC299" i="6"/>
  <c r="AD299" i="6"/>
  <c r="AE299" i="6"/>
  <c r="X300" i="6"/>
  <c r="Y300" i="6"/>
  <c r="Z300" i="6"/>
  <c r="AA300" i="6"/>
  <c r="AB300" i="6"/>
  <c r="AC300" i="6"/>
  <c r="AD300" i="6"/>
  <c r="AE300" i="6"/>
  <c r="X301" i="6"/>
  <c r="Y301" i="6"/>
  <c r="Z301" i="6"/>
  <c r="AA301" i="6"/>
  <c r="AB301" i="6"/>
  <c r="AC301" i="6"/>
  <c r="AD301" i="6"/>
  <c r="AE301" i="6"/>
  <c r="X302" i="6"/>
  <c r="Y302" i="6"/>
  <c r="Z302" i="6"/>
  <c r="AA302" i="6"/>
  <c r="AB302" i="6"/>
  <c r="AC302" i="6"/>
  <c r="AD302" i="6"/>
  <c r="AE302" i="6"/>
  <c r="X303" i="6"/>
  <c r="Y303" i="6"/>
  <c r="Z303" i="6"/>
  <c r="AA303" i="6"/>
  <c r="AB303" i="6"/>
  <c r="AC303" i="6"/>
  <c r="AD303" i="6"/>
  <c r="AE303" i="6"/>
  <c r="X304" i="6"/>
  <c r="Y304" i="6"/>
  <c r="Z304" i="6"/>
  <c r="AA304" i="6"/>
  <c r="AB304" i="6"/>
  <c r="AC304" i="6"/>
  <c r="AD304" i="6"/>
  <c r="AE304" i="6"/>
  <c r="X305" i="6"/>
  <c r="Y305" i="6"/>
  <c r="Z305" i="6"/>
  <c r="AA305" i="6"/>
  <c r="AB305" i="6"/>
  <c r="AC305" i="6"/>
  <c r="AD305" i="6"/>
  <c r="AE305" i="6"/>
  <c r="X306" i="6"/>
  <c r="Y306" i="6"/>
  <c r="Z306" i="6"/>
  <c r="AA306" i="6"/>
  <c r="AB306" i="6"/>
  <c r="AC306" i="6"/>
  <c r="AD306" i="6"/>
  <c r="AE306" i="6"/>
  <c r="X307" i="6"/>
  <c r="Y307" i="6"/>
  <c r="Z307" i="6"/>
  <c r="AA307" i="6"/>
  <c r="AB307" i="6"/>
  <c r="AC307" i="6"/>
  <c r="AD307" i="6"/>
  <c r="AE307" i="6"/>
  <c r="X308" i="6"/>
  <c r="Y308" i="6"/>
  <c r="Z308" i="6"/>
  <c r="AA308" i="6"/>
  <c r="AB308" i="6"/>
  <c r="AC308" i="6"/>
  <c r="AD308" i="6"/>
  <c r="AE308" i="6"/>
  <c r="X309" i="6"/>
  <c r="Y309" i="6"/>
  <c r="Z309" i="6"/>
  <c r="AA309" i="6"/>
  <c r="AB309" i="6"/>
  <c r="AC309" i="6"/>
  <c r="AD309" i="6"/>
  <c r="AE309" i="6"/>
  <c r="X310" i="6"/>
  <c r="Y310" i="6"/>
  <c r="Z310" i="6"/>
  <c r="AA310" i="6"/>
  <c r="AB310" i="6"/>
  <c r="AC310" i="6"/>
  <c r="AD310" i="6"/>
  <c r="AE310" i="6"/>
  <c r="X311" i="6"/>
  <c r="Y311" i="6"/>
  <c r="Z311" i="6"/>
  <c r="AA311" i="6"/>
  <c r="AB311" i="6"/>
  <c r="AC311" i="6"/>
  <c r="AD311" i="6"/>
  <c r="AE311" i="6"/>
  <c r="X312" i="6"/>
  <c r="Y312" i="6"/>
  <c r="Z312" i="6"/>
  <c r="AA312" i="6"/>
  <c r="AB312" i="6"/>
  <c r="AC312" i="6"/>
  <c r="AD312" i="6"/>
  <c r="AE312" i="6"/>
  <c r="X313" i="6"/>
  <c r="Y313" i="6"/>
  <c r="Z313" i="6"/>
  <c r="AA313" i="6"/>
  <c r="AB313" i="6"/>
  <c r="AC313" i="6"/>
  <c r="AD313" i="6"/>
  <c r="AE313" i="6"/>
  <c r="X314" i="6"/>
  <c r="Y314" i="6"/>
  <c r="Z314" i="6"/>
  <c r="AA314" i="6"/>
  <c r="AB314" i="6"/>
  <c r="AC314" i="6"/>
  <c r="AD314" i="6"/>
  <c r="AE314" i="6"/>
  <c r="X315" i="6"/>
  <c r="Y315" i="6"/>
  <c r="Z315" i="6"/>
  <c r="AA315" i="6"/>
  <c r="AB315" i="6"/>
  <c r="AC315" i="6"/>
  <c r="AD315" i="6"/>
  <c r="AE315" i="6"/>
  <c r="X316" i="6"/>
  <c r="Y316" i="6"/>
  <c r="Z316" i="6"/>
  <c r="AA316" i="6"/>
  <c r="AB316" i="6"/>
  <c r="AC316" i="6"/>
  <c r="AD316" i="6"/>
  <c r="AE316" i="6"/>
  <c r="X317" i="6"/>
  <c r="Y317" i="6"/>
  <c r="Z317" i="6"/>
  <c r="AA317" i="6"/>
  <c r="AB317" i="6"/>
  <c r="AC317" i="6"/>
  <c r="AD317" i="6"/>
  <c r="AE317" i="6"/>
  <c r="X318" i="6"/>
  <c r="Y318" i="6"/>
  <c r="Z318" i="6"/>
  <c r="AA318" i="6"/>
  <c r="AB318" i="6"/>
  <c r="AC318" i="6"/>
  <c r="AD318" i="6"/>
  <c r="AE318" i="6"/>
  <c r="X319" i="6"/>
  <c r="Y319" i="6"/>
  <c r="Z319" i="6"/>
  <c r="AA319" i="6"/>
  <c r="AB319" i="6"/>
  <c r="AC319" i="6"/>
  <c r="AD319" i="6"/>
  <c r="AE319" i="6"/>
  <c r="X320" i="6"/>
  <c r="Y320" i="6"/>
  <c r="Z320" i="6"/>
  <c r="AA320" i="6"/>
  <c r="AB320" i="6"/>
  <c r="AC320" i="6"/>
  <c r="AD320" i="6"/>
  <c r="AE320" i="6"/>
  <c r="X321" i="6"/>
  <c r="Y321" i="6"/>
  <c r="Z321" i="6"/>
  <c r="AA321" i="6"/>
  <c r="AB321" i="6"/>
  <c r="AC321" i="6"/>
  <c r="AD321" i="6"/>
  <c r="AE321" i="6"/>
  <c r="X322" i="6"/>
  <c r="Y322" i="6"/>
  <c r="Z322" i="6"/>
  <c r="AA322" i="6"/>
  <c r="AB322" i="6"/>
  <c r="AC322" i="6"/>
  <c r="AD322" i="6"/>
  <c r="AE322" i="6"/>
  <c r="X323" i="6"/>
  <c r="Y323" i="6"/>
  <c r="Z323" i="6"/>
  <c r="AA323" i="6"/>
  <c r="AB323" i="6"/>
  <c r="AC323" i="6"/>
  <c r="AD323" i="6"/>
  <c r="AE323" i="6"/>
  <c r="X324" i="6"/>
  <c r="Y324" i="6"/>
  <c r="Z324" i="6"/>
  <c r="AA324" i="6"/>
  <c r="AB324" i="6"/>
  <c r="AC324" i="6"/>
  <c r="AD324" i="6"/>
  <c r="AE324" i="6"/>
  <c r="X325" i="6"/>
  <c r="Y325" i="6"/>
  <c r="Z325" i="6"/>
  <c r="AA325" i="6"/>
  <c r="AB325" i="6"/>
  <c r="AC325" i="6"/>
  <c r="AD325" i="6"/>
  <c r="AE325" i="6"/>
  <c r="X326" i="6"/>
  <c r="Y326" i="6"/>
  <c r="Z326" i="6"/>
  <c r="AA326" i="6"/>
  <c r="AB326" i="6"/>
  <c r="AC326" i="6"/>
  <c r="AD326" i="6"/>
  <c r="AE326" i="6"/>
  <c r="X327" i="6"/>
  <c r="Y327" i="6"/>
  <c r="Z327" i="6"/>
  <c r="AA327" i="6"/>
  <c r="AB327" i="6"/>
  <c r="AC327" i="6"/>
  <c r="AD327" i="6"/>
  <c r="AE327" i="6"/>
  <c r="X328" i="6"/>
  <c r="Y328" i="6"/>
  <c r="Z328" i="6"/>
  <c r="AA328" i="6"/>
  <c r="AB328" i="6"/>
  <c r="AC328" i="6"/>
  <c r="AD328" i="6"/>
  <c r="AE328" i="6"/>
  <c r="X329" i="6"/>
  <c r="Y329" i="6"/>
  <c r="Z329" i="6"/>
  <c r="AA329" i="6"/>
  <c r="AB329" i="6"/>
  <c r="AC329" i="6"/>
  <c r="AD329" i="6"/>
  <c r="AE329" i="6"/>
  <c r="X330" i="6"/>
  <c r="Y330" i="6"/>
  <c r="Z330" i="6"/>
  <c r="AA330" i="6"/>
  <c r="AB330" i="6"/>
  <c r="AC330" i="6"/>
  <c r="AD330" i="6"/>
  <c r="AE330" i="6"/>
  <c r="X331" i="6"/>
  <c r="Y331" i="6"/>
  <c r="Z331" i="6"/>
  <c r="AA331" i="6"/>
  <c r="AB331" i="6"/>
  <c r="AC331" i="6"/>
  <c r="AD331" i="6"/>
  <c r="AE331" i="6"/>
  <c r="X332" i="6"/>
  <c r="Y332" i="6"/>
  <c r="Z332" i="6"/>
  <c r="AA332" i="6"/>
  <c r="AB332" i="6"/>
  <c r="AC332" i="6"/>
  <c r="AD332" i="6"/>
  <c r="AE332" i="6"/>
  <c r="X333" i="6"/>
  <c r="Y333" i="6"/>
  <c r="Z333" i="6"/>
  <c r="AA333" i="6"/>
  <c r="AB333" i="6"/>
  <c r="AC333" i="6"/>
  <c r="AD333" i="6"/>
  <c r="AE333" i="6"/>
  <c r="X334" i="6"/>
  <c r="Y334" i="6"/>
  <c r="Z334" i="6"/>
  <c r="AA334" i="6"/>
  <c r="AB334" i="6"/>
  <c r="AC334" i="6"/>
  <c r="AD334" i="6"/>
  <c r="AE334" i="6"/>
  <c r="X335" i="6"/>
  <c r="Y335" i="6"/>
  <c r="Z335" i="6"/>
  <c r="AA335" i="6"/>
  <c r="AB335" i="6"/>
  <c r="AC335" i="6"/>
  <c r="AD335" i="6"/>
  <c r="AE335" i="6"/>
  <c r="X336" i="6"/>
  <c r="Y336" i="6"/>
  <c r="Z336" i="6"/>
  <c r="AA336" i="6"/>
  <c r="AB336" i="6"/>
  <c r="AC336" i="6"/>
  <c r="AD336" i="6"/>
  <c r="AE336" i="6"/>
  <c r="X337" i="6"/>
  <c r="Y337" i="6"/>
  <c r="Z337" i="6"/>
  <c r="AA337" i="6"/>
  <c r="AB337" i="6"/>
  <c r="AC337" i="6"/>
  <c r="AD337" i="6"/>
  <c r="AE337" i="6"/>
  <c r="X338" i="6"/>
  <c r="Y338" i="6"/>
  <c r="Z338" i="6"/>
  <c r="AA338" i="6"/>
  <c r="AB338" i="6"/>
  <c r="AC338" i="6"/>
  <c r="AD338" i="6"/>
  <c r="AE338" i="6"/>
  <c r="X339" i="6"/>
  <c r="Y339" i="6"/>
  <c r="Z339" i="6"/>
  <c r="AA339" i="6"/>
  <c r="AB339" i="6"/>
  <c r="AC339" i="6"/>
  <c r="AD339" i="6"/>
  <c r="AE339" i="6"/>
  <c r="X340" i="6"/>
  <c r="Y340" i="6"/>
  <c r="Z340" i="6"/>
  <c r="AA340" i="6"/>
  <c r="AB340" i="6"/>
  <c r="AC340" i="6"/>
  <c r="AD340" i="6"/>
  <c r="AE340" i="6"/>
  <c r="X341" i="6"/>
  <c r="Y341" i="6"/>
  <c r="Z341" i="6"/>
  <c r="AA341" i="6"/>
  <c r="AB341" i="6"/>
  <c r="AC341" i="6"/>
  <c r="AD341" i="6"/>
  <c r="AE341" i="6"/>
  <c r="X342" i="6"/>
  <c r="Y342" i="6"/>
  <c r="Z342" i="6"/>
  <c r="AA342" i="6"/>
  <c r="AB342" i="6"/>
  <c r="AC342" i="6"/>
  <c r="AD342" i="6"/>
  <c r="AE342" i="6"/>
  <c r="X343" i="6"/>
  <c r="Y343" i="6"/>
  <c r="Z343" i="6"/>
  <c r="AA343" i="6"/>
  <c r="AB343" i="6"/>
  <c r="AC343" i="6"/>
  <c r="AD343" i="6"/>
  <c r="AE343" i="6"/>
  <c r="X344" i="6"/>
  <c r="Y344" i="6"/>
  <c r="Z344" i="6"/>
  <c r="AA344" i="6"/>
  <c r="AB344" i="6"/>
  <c r="AC344" i="6"/>
  <c r="AD344" i="6"/>
  <c r="AE344" i="6"/>
  <c r="X345" i="6"/>
  <c r="Y345" i="6"/>
  <c r="Z345" i="6"/>
  <c r="AA345" i="6"/>
  <c r="AB345" i="6"/>
  <c r="AC345" i="6"/>
  <c r="AD345" i="6"/>
  <c r="AE345" i="6"/>
  <c r="X346" i="6"/>
  <c r="Y346" i="6"/>
  <c r="Z346" i="6"/>
  <c r="AA346" i="6"/>
  <c r="AB346" i="6"/>
  <c r="AC346" i="6"/>
  <c r="AD346" i="6"/>
  <c r="AE346" i="6"/>
  <c r="X347" i="6"/>
  <c r="Y347" i="6"/>
  <c r="Z347" i="6"/>
  <c r="AA347" i="6"/>
  <c r="AB347" i="6"/>
  <c r="AC347" i="6"/>
  <c r="AD347" i="6"/>
  <c r="AE347" i="6"/>
  <c r="X348" i="6"/>
  <c r="Y348" i="6"/>
  <c r="Z348" i="6"/>
  <c r="AA348" i="6"/>
  <c r="AB348" i="6"/>
  <c r="AC348" i="6"/>
  <c r="AD348" i="6"/>
  <c r="AE348" i="6"/>
  <c r="X349" i="6"/>
  <c r="Y349" i="6"/>
  <c r="Z349" i="6"/>
  <c r="AA349" i="6"/>
  <c r="AB349" i="6"/>
  <c r="AC349" i="6"/>
  <c r="AD349" i="6"/>
  <c r="AE349" i="6"/>
  <c r="X350" i="6"/>
  <c r="Y350" i="6"/>
  <c r="Z350" i="6"/>
  <c r="AA350" i="6"/>
  <c r="AB350" i="6"/>
  <c r="AC350" i="6"/>
  <c r="AD350" i="6"/>
  <c r="AE350" i="6"/>
  <c r="X351" i="6"/>
  <c r="Y351" i="6"/>
  <c r="Z351" i="6"/>
  <c r="AA351" i="6"/>
  <c r="AB351" i="6"/>
  <c r="AC351" i="6"/>
  <c r="AD351" i="6"/>
  <c r="AE351" i="6"/>
  <c r="X352" i="6"/>
  <c r="Y352" i="6"/>
  <c r="Z352" i="6"/>
  <c r="AA352" i="6"/>
  <c r="AB352" i="6"/>
  <c r="AC352" i="6"/>
  <c r="AD352" i="6"/>
  <c r="AE352" i="6"/>
  <c r="X353" i="6"/>
  <c r="Y353" i="6"/>
  <c r="Z353" i="6"/>
  <c r="AA353" i="6"/>
  <c r="AB353" i="6"/>
  <c r="AC353" i="6"/>
  <c r="AD353" i="6"/>
  <c r="AE353" i="6"/>
  <c r="AE157" i="6"/>
  <c r="AD157" i="6"/>
  <c r="AC157" i="6"/>
  <c r="AB157" i="6"/>
  <c r="AA157" i="6"/>
  <c r="Z157" i="6"/>
  <c r="Y157" i="6"/>
  <c r="X157" i="6"/>
  <c r="K5" i="6"/>
  <c r="AB12" i="6"/>
  <c r="L12" i="6" s="1"/>
  <c r="AB13" i="6"/>
  <c r="AB14" i="6"/>
  <c r="AB15" i="6"/>
  <c r="AB16" i="6"/>
  <c r="AB17" i="6"/>
  <c r="AB18" i="6"/>
  <c r="AB19" i="6"/>
  <c r="AB20" i="6"/>
  <c r="AB21" i="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L59" i="6" s="1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135" i="6"/>
  <c r="AB136" i="6"/>
  <c r="AB137" i="6"/>
  <c r="AB138" i="6"/>
  <c r="AB139" i="6"/>
  <c r="L140" i="6" s="1"/>
  <c r="AB140" i="6"/>
  <c r="AB141" i="6"/>
  <c r="AB142" i="6"/>
  <c r="AB143" i="6"/>
  <c r="AB144" i="6"/>
  <c r="AB145" i="6"/>
  <c r="AB146" i="6"/>
  <c r="L146" i="6" s="1"/>
  <c r="AB147" i="6"/>
  <c r="L147" i="6" s="1"/>
  <c r="AB148" i="6"/>
  <c r="AB149" i="6"/>
  <c r="AB150" i="6"/>
  <c r="AB151" i="6"/>
  <c r="AB152" i="6"/>
  <c r="AB153" i="6"/>
  <c r="AB154" i="6"/>
  <c r="AB155" i="6"/>
  <c r="AB11" i="6"/>
  <c r="AD12" i="6"/>
  <c r="AE12" i="6"/>
  <c r="AD13" i="6"/>
  <c r="AE13" i="6"/>
  <c r="AD14" i="6"/>
  <c r="AE14" i="6"/>
  <c r="AD15" i="6"/>
  <c r="AE15" i="6"/>
  <c r="AD16" i="6"/>
  <c r="AE16" i="6"/>
  <c r="AD17" i="6"/>
  <c r="AE17" i="6"/>
  <c r="AD18" i="6"/>
  <c r="AE18" i="6"/>
  <c r="AD19" i="6"/>
  <c r="AE19" i="6"/>
  <c r="AD20" i="6"/>
  <c r="AE20" i="6"/>
  <c r="AD21" i="6"/>
  <c r="AE21" i="6"/>
  <c r="AD22" i="6"/>
  <c r="AE22" i="6"/>
  <c r="AD23" i="6"/>
  <c r="AE23" i="6"/>
  <c r="AD24" i="6"/>
  <c r="AE24" i="6"/>
  <c r="AD25" i="6"/>
  <c r="AE25" i="6"/>
  <c r="AD26" i="6"/>
  <c r="AE26" i="6"/>
  <c r="AD27" i="6"/>
  <c r="AE27" i="6"/>
  <c r="AD28" i="6"/>
  <c r="AE28" i="6"/>
  <c r="AD29" i="6"/>
  <c r="AE29" i="6"/>
  <c r="AD30" i="6"/>
  <c r="AE30" i="6"/>
  <c r="AD31" i="6"/>
  <c r="AE31" i="6"/>
  <c r="AD32" i="6"/>
  <c r="AE32" i="6"/>
  <c r="AD33" i="6"/>
  <c r="AE33" i="6"/>
  <c r="AD34" i="6"/>
  <c r="AE34" i="6"/>
  <c r="AD35" i="6"/>
  <c r="AE35" i="6"/>
  <c r="AD36" i="6"/>
  <c r="AE36" i="6"/>
  <c r="AD37" i="6"/>
  <c r="AE37" i="6"/>
  <c r="AD38" i="6"/>
  <c r="AE38" i="6"/>
  <c r="AD39" i="6"/>
  <c r="AE39" i="6"/>
  <c r="AD40" i="6"/>
  <c r="AE40" i="6"/>
  <c r="AD41" i="6"/>
  <c r="AE41" i="6"/>
  <c r="AD42" i="6"/>
  <c r="AE42" i="6"/>
  <c r="AD43" i="6"/>
  <c r="AE43" i="6"/>
  <c r="AD44" i="6"/>
  <c r="AE44" i="6"/>
  <c r="AD45" i="6"/>
  <c r="AE45" i="6"/>
  <c r="AD46" i="6"/>
  <c r="AE46" i="6"/>
  <c r="AD47" i="6"/>
  <c r="AE47" i="6"/>
  <c r="AD48" i="6"/>
  <c r="AE48" i="6"/>
  <c r="AD49" i="6"/>
  <c r="AE49" i="6"/>
  <c r="AD50" i="6"/>
  <c r="AE50" i="6"/>
  <c r="AD51" i="6"/>
  <c r="AE51" i="6"/>
  <c r="AD52" i="6"/>
  <c r="AE52" i="6"/>
  <c r="AD53" i="6"/>
  <c r="AE53" i="6"/>
  <c r="AD54" i="6"/>
  <c r="AE54" i="6"/>
  <c r="AD55" i="6"/>
  <c r="AE55" i="6"/>
  <c r="AD56" i="6"/>
  <c r="AE56" i="6"/>
  <c r="AD57" i="6"/>
  <c r="AE57" i="6"/>
  <c r="AD58" i="6"/>
  <c r="AE58" i="6"/>
  <c r="AD59" i="6"/>
  <c r="N59" i="6" s="1"/>
  <c r="AE59" i="6"/>
  <c r="O59" i="6" s="1"/>
  <c r="AD60" i="6"/>
  <c r="AE60" i="6"/>
  <c r="AD61" i="6"/>
  <c r="AE61" i="6"/>
  <c r="AD62" i="6"/>
  <c r="AE62" i="6"/>
  <c r="AD63" i="6"/>
  <c r="AE63" i="6"/>
  <c r="AD64" i="6"/>
  <c r="AE64" i="6"/>
  <c r="AD65" i="6"/>
  <c r="AE65" i="6"/>
  <c r="AD66" i="6"/>
  <c r="AE66" i="6"/>
  <c r="AD67" i="6"/>
  <c r="AE67" i="6"/>
  <c r="AD68" i="6"/>
  <c r="AE68" i="6"/>
  <c r="AD69" i="6"/>
  <c r="AE69" i="6"/>
  <c r="AD70" i="6"/>
  <c r="AE70" i="6"/>
  <c r="AD71" i="6"/>
  <c r="AE71" i="6"/>
  <c r="AD72" i="6"/>
  <c r="AE72" i="6"/>
  <c r="AD73" i="6"/>
  <c r="AE73" i="6"/>
  <c r="AD74" i="6"/>
  <c r="AE74" i="6"/>
  <c r="AD75" i="6"/>
  <c r="AE75" i="6"/>
  <c r="AD76" i="6"/>
  <c r="AE76" i="6"/>
  <c r="AD77" i="6"/>
  <c r="AE77" i="6"/>
  <c r="AD78" i="6"/>
  <c r="AE78" i="6"/>
  <c r="AD79" i="6"/>
  <c r="AE79" i="6"/>
  <c r="AD80" i="6"/>
  <c r="AE80" i="6"/>
  <c r="AD81" i="6"/>
  <c r="AE81" i="6"/>
  <c r="AD82" i="6"/>
  <c r="AE82" i="6"/>
  <c r="AD83" i="6"/>
  <c r="AE83" i="6"/>
  <c r="AD84" i="6"/>
  <c r="AE84" i="6"/>
  <c r="AD85" i="6"/>
  <c r="AE85" i="6"/>
  <c r="AD86" i="6"/>
  <c r="N86" i="6" s="1"/>
  <c r="AE86" i="6"/>
  <c r="AD87" i="6"/>
  <c r="AE87" i="6"/>
  <c r="AD88" i="6"/>
  <c r="AE88" i="6"/>
  <c r="AD89" i="6"/>
  <c r="AE89" i="6"/>
  <c r="AD90" i="6"/>
  <c r="AE90" i="6"/>
  <c r="AD91" i="6"/>
  <c r="AE91" i="6"/>
  <c r="AD92" i="6"/>
  <c r="AE92" i="6"/>
  <c r="AD93" i="6"/>
  <c r="AE93" i="6"/>
  <c r="AD94" i="6"/>
  <c r="AE94" i="6"/>
  <c r="AD95" i="6"/>
  <c r="AE95" i="6"/>
  <c r="AD96" i="6"/>
  <c r="AE96" i="6"/>
  <c r="AD97" i="6"/>
  <c r="AE97" i="6"/>
  <c r="AD98" i="6"/>
  <c r="AE98" i="6"/>
  <c r="AD99" i="6"/>
  <c r="AE99" i="6"/>
  <c r="AD100" i="6"/>
  <c r="AE100" i="6"/>
  <c r="AD101" i="6"/>
  <c r="AE101" i="6"/>
  <c r="AD102" i="6"/>
  <c r="AE102" i="6"/>
  <c r="AD103" i="6"/>
  <c r="AE103" i="6"/>
  <c r="AD104" i="6"/>
  <c r="AE104" i="6"/>
  <c r="AD105" i="6"/>
  <c r="AE105" i="6"/>
  <c r="AD106" i="6"/>
  <c r="AE106" i="6"/>
  <c r="AD107" i="6"/>
  <c r="AE107" i="6"/>
  <c r="AD108" i="6"/>
  <c r="AE108" i="6"/>
  <c r="AD109" i="6"/>
  <c r="AE109" i="6"/>
  <c r="AD110" i="6"/>
  <c r="AE110" i="6"/>
  <c r="AD111" i="6"/>
  <c r="AE111" i="6"/>
  <c r="AD112" i="6"/>
  <c r="AE112" i="6"/>
  <c r="AD113" i="6"/>
  <c r="AE113" i="6"/>
  <c r="AD114" i="6"/>
  <c r="AE114" i="6"/>
  <c r="AD115" i="6"/>
  <c r="AE115" i="6"/>
  <c r="AD116" i="6"/>
  <c r="AE116" i="6"/>
  <c r="AD117" i="6"/>
  <c r="AE117" i="6"/>
  <c r="AD118" i="6"/>
  <c r="AE118" i="6"/>
  <c r="AD119" i="6"/>
  <c r="AE119" i="6"/>
  <c r="AD120" i="6"/>
  <c r="AE120" i="6"/>
  <c r="AD121" i="6"/>
  <c r="AE121" i="6"/>
  <c r="AD122" i="6"/>
  <c r="AE122" i="6"/>
  <c r="AD123" i="6"/>
  <c r="AE123" i="6"/>
  <c r="AD124" i="6"/>
  <c r="AE124" i="6"/>
  <c r="AD125" i="6"/>
  <c r="AE125" i="6"/>
  <c r="AD126" i="6"/>
  <c r="AE126" i="6"/>
  <c r="AD127" i="6"/>
  <c r="AE127" i="6"/>
  <c r="AD128" i="6"/>
  <c r="AE128" i="6"/>
  <c r="AD129" i="6"/>
  <c r="AE129" i="6"/>
  <c r="AD130" i="6"/>
  <c r="AE130" i="6"/>
  <c r="AD131" i="6"/>
  <c r="AE131" i="6"/>
  <c r="AD132" i="6"/>
  <c r="AE132" i="6"/>
  <c r="AD133" i="6"/>
  <c r="AE133" i="6"/>
  <c r="AD134" i="6"/>
  <c r="N134" i="6" s="1"/>
  <c r="AE134" i="6"/>
  <c r="O134" i="6" s="1"/>
  <c r="AD135" i="6"/>
  <c r="AE135" i="6"/>
  <c r="AD136" i="6"/>
  <c r="AE136" i="6"/>
  <c r="AD137" i="6"/>
  <c r="AE137" i="6"/>
  <c r="AD138" i="6"/>
  <c r="AE138" i="6"/>
  <c r="AD139" i="6"/>
  <c r="N140" i="6" s="1"/>
  <c r="AE139" i="6"/>
  <c r="O140" i="6" s="1"/>
  <c r="AD140" i="6"/>
  <c r="AE140" i="6"/>
  <c r="AD141" i="6"/>
  <c r="AE141" i="6"/>
  <c r="AD142" i="6"/>
  <c r="AE142" i="6"/>
  <c r="AD143" i="6"/>
  <c r="AE143" i="6"/>
  <c r="AD144" i="6"/>
  <c r="AE144" i="6"/>
  <c r="AD145" i="6"/>
  <c r="AE145" i="6"/>
  <c r="AD146" i="6"/>
  <c r="N146" i="6" s="1"/>
  <c r="AE146" i="6"/>
  <c r="O146" i="6" s="1"/>
  <c r="AD147" i="6"/>
  <c r="N147" i="6" s="1"/>
  <c r="AE147" i="6"/>
  <c r="O147" i="6" s="1"/>
  <c r="AD148" i="6"/>
  <c r="AE148" i="6"/>
  <c r="AD149" i="6"/>
  <c r="AE149" i="6"/>
  <c r="AD150" i="6"/>
  <c r="AE150" i="6"/>
  <c r="AD151" i="6"/>
  <c r="AE151" i="6"/>
  <c r="AD152" i="6"/>
  <c r="AE152" i="6"/>
  <c r="AD153" i="6"/>
  <c r="AE153" i="6"/>
  <c r="AD154" i="6"/>
  <c r="AE154" i="6"/>
  <c r="AD155" i="6"/>
  <c r="AE155" i="6"/>
  <c r="AE11" i="6"/>
  <c r="AD11" i="6"/>
  <c r="AC12" i="6"/>
  <c r="M12" i="6" s="1"/>
  <c r="AC13" i="6"/>
  <c r="AC14" i="6"/>
  <c r="AC15" i="6"/>
  <c r="AC16" i="6"/>
  <c r="AC17" i="6"/>
  <c r="AC18" i="6"/>
  <c r="AC19" i="6"/>
  <c r="AC20" i="6"/>
  <c r="AC21" i="6"/>
  <c r="AC22" i="6"/>
  <c r="AC23" i="6"/>
  <c r="AC24" i="6"/>
  <c r="AC25" i="6"/>
  <c r="AC26" i="6"/>
  <c r="AC27" i="6"/>
  <c r="AC28" i="6"/>
  <c r="AC29" i="6"/>
  <c r="AC30" i="6"/>
  <c r="AC31" i="6"/>
  <c r="AC32" i="6"/>
  <c r="AC33" i="6"/>
  <c r="AC34" i="6"/>
  <c r="AC35" i="6"/>
  <c r="AC36" i="6"/>
  <c r="AC37" i="6"/>
  <c r="AC38" i="6"/>
  <c r="AC39" i="6"/>
  <c r="AC40" i="6"/>
  <c r="AC41" i="6"/>
  <c r="AC42" i="6"/>
  <c r="AC43" i="6"/>
  <c r="AC44" i="6"/>
  <c r="AC45" i="6"/>
  <c r="AC46" i="6"/>
  <c r="AC47" i="6"/>
  <c r="AC48" i="6"/>
  <c r="AC49" i="6"/>
  <c r="AC50" i="6"/>
  <c r="AC51" i="6"/>
  <c r="AC52" i="6"/>
  <c r="AC53" i="6"/>
  <c r="AC54" i="6"/>
  <c r="AC55" i="6"/>
  <c r="AC56" i="6"/>
  <c r="AC57" i="6"/>
  <c r="AC58" i="6"/>
  <c r="AC59" i="6"/>
  <c r="M59" i="6" s="1"/>
  <c r="AC60" i="6"/>
  <c r="AC61" i="6"/>
  <c r="AC62" i="6"/>
  <c r="AC63" i="6"/>
  <c r="AC64" i="6"/>
  <c r="AC65" i="6"/>
  <c r="AC66" i="6"/>
  <c r="AC67" i="6"/>
  <c r="AC68" i="6"/>
  <c r="AC69" i="6"/>
  <c r="AC70" i="6"/>
  <c r="AC71" i="6"/>
  <c r="AC72" i="6"/>
  <c r="AC73" i="6"/>
  <c r="AC74" i="6"/>
  <c r="AC75" i="6"/>
  <c r="AC76" i="6"/>
  <c r="AC77" i="6"/>
  <c r="AC78" i="6"/>
  <c r="AC79" i="6"/>
  <c r="AC80" i="6"/>
  <c r="AC81" i="6"/>
  <c r="AC82" i="6"/>
  <c r="AC83" i="6"/>
  <c r="AC84" i="6"/>
  <c r="AC85" i="6"/>
  <c r="AC86" i="6"/>
  <c r="M86" i="6" s="1"/>
  <c r="AC87" i="6"/>
  <c r="AC88" i="6"/>
  <c r="AC89" i="6"/>
  <c r="AC90" i="6"/>
  <c r="AC91" i="6"/>
  <c r="AC92" i="6"/>
  <c r="AC93" i="6"/>
  <c r="AC94" i="6"/>
  <c r="AC95" i="6"/>
  <c r="AC96" i="6"/>
  <c r="AC97" i="6"/>
  <c r="AC98" i="6"/>
  <c r="AC99" i="6"/>
  <c r="AC100" i="6"/>
  <c r="AC101" i="6"/>
  <c r="AC102" i="6"/>
  <c r="AC103" i="6"/>
  <c r="AC104" i="6"/>
  <c r="AC105" i="6"/>
  <c r="AC106" i="6"/>
  <c r="AC107" i="6"/>
  <c r="AC108" i="6"/>
  <c r="AC109" i="6"/>
  <c r="AC110" i="6"/>
  <c r="AC111" i="6"/>
  <c r="AC112" i="6"/>
  <c r="AC113" i="6"/>
  <c r="AC114" i="6"/>
  <c r="AC115" i="6"/>
  <c r="AC116" i="6"/>
  <c r="AC117" i="6"/>
  <c r="AC118" i="6"/>
  <c r="AC119" i="6"/>
  <c r="AC120" i="6"/>
  <c r="AC121" i="6"/>
  <c r="AC122" i="6"/>
  <c r="AC123" i="6"/>
  <c r="AC124" i="6"/>
  <c r="AC125" i="6"/>
  <c r="AC126" i="6"/>
  <c r="AC127" i="6"/>
  <c r="AC128" i="6"/>
  <c r="AC129" i="6"/>
  <c r="AC130" i="6"/>
  <c r="AC131" i="6"/>
  <c r="AC132" i="6"/>
  <c r="AC133" i="6"/>
  <c r="AC134" i="6"/>
  <c r="AC135" i="6"/>
  <c r="AC136" i="6"/>
  <c r="AC137" i="6"/>
  <c r="AC138" i="6"/>
  <c r="AC139" i="6"/>
  <c r="M140" i="6" s="1"/>
  <c r="AC140" i="6"/>
  <c r="AC141" i="6"/>
  <c r="AC142" i="6"/>
  <c r="AC143" i="6"/>
  <c r="AC144" i="6"/>
  <c r="AC145" i="6"/>
  <c r="AC146" i="6"/>
  <c r="M146" i="6" s="1"/>
  <c r="AC147" i="6"/>
  <c r="M147" i="6" s="1"/>
  <c r="AC148" i="6"/>
  <c r="AC149" i="6"/>
  <c r="AC150" i="6"/>
  <c r="AC151" i="6"/>
  <c r="AC152" i="6"/>
  <c r="AC153" i="6"/>
  <c r="AC154" i="6"/>
  <c r="AC155" i="6"/>
  <c r="Z51" i="35"/>
  <c r="Z45" i="35"/>
  <c r="Z46" i="35"/>
  <c r="Z48" i="35"/>
  <c r="Z44" i="35"/>
  <c r="Z43" i="35"/>
  <c r="Z42" i="35"/>
  <c r="Z40" i="35"/>
  <c r="Z38" i="35"/>
  <c r="Z37" i="35"/>
  <c r="Z36" i="35"/>
  <c r="Z34" i="35"/>
  <c r="Z33" i="35"/>
  <c r="Z32" i="35"/>
  <c r="Z30" i="35"/>
  <c r="Z28" i="35"/>
  <c r="Z27" i="35"/>
  <c r="Z26" i="35"/>
  <c r="W51" i="35"/>
  <c r="W49" i="35"/>
  <c r="W48" i="35"/>
  <c r="W46" i="35"/>
  <c r="W45" i="35"/>
  <c r="W44" i="35"/>
  <c r="W43" i="35"/>
  <c r="W42" i="35"/>
  <c r="W40" i="35"/>
  <c r="W39" i="35"/>
  <c r="W38" i="35"/>
  <c r="W37" i="35"/>
  <c r="W36" i="35"/>
  <c r="W34" i="35"/>
  <c r="W32" i="35"/>
  <c r="W28" i="35"/>
  <c r="W27" i="35"/>
  <c r="W26" i="35"/>
  <c r="AC11" i="6"/>
  <c r="T51" i="35"/>
  <c r="T48" i="35"/>
  <c r="T40" i="35"/>
  <c r="T46" i="35"/>
  <c r="T45" i="35"/>
  <c r="T44" i="35"/>
  <c r="T43" i="35"/>
  <c r="T42" i="35"/>
  <c r="T37" i="35"/>
  <c r="T38" i="35"/>
  <c r="T36" i="35"/>
  <c r="T34" i="35"/>
  <c r="T27" i="35"/>
  <c r="T26" i="35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1" i="6"/>
  <c r="Z12" i="6"/>
  <c r="J12" i="6" s="1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J59" i="6" s="1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J86" i="6" s="1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J134" i="6" s="1"/>
  <c r="Z135" i="6"/>
  <c r="Z136" i="6"/>
  <c r="Z137" i="6"/>
  <c r="Z138" i="6"/>
  <c r="Z139" i="6"/>
  <c r="J140" i="6" s="1"/>
  <c r="Z140" i="6"/>
  <c r="Z141" i="6"/>
  <c r="Z142" i="6"/>
  <c r="Z143" i="6"/>
  <c r="Z144" i="6"/>
  <c r="Z145" i="6"/>
  <c r="Z146" i="6"/>
  <c r="J146" i="6" s="1"/>
  <c r="Z147" i="6"/>
  <c r="J147" i="6" s="1"/>
  <c r="Z148" i="6"/>
  <c r="Z149" i="6"/>
  <c r="Z150" i="6"/>
  <c r="Z151" i="6"/>
  <c r="Z152" i="6"/>
  <c r="Z153" i="6"/>
  <c r="Z154" i="6"/>
  <c r="Z155" i="6"/>
  <c r="Z11" i="6"/>
  <c r="O27" i="35"/>
  <c r="O26" i="35"/>
  <c r="O37" i="35"/>
  <c r="O38" i="35"/>
  <c r="O39" i="35"/>
  <c r="O36" i="35"/>
  <c r="O34" i="35"/>
  <c r="O40" i="35"/>
  <c r="O44" i="35"/>
  <c r="O43" i="35"/>
  <c r="O42" i="35"/>
  <c r="O47" i="35"/>
  <c r="O46" i="35"/>
  <c r="O48" i="35"/>
  <c r="O51" i="35"/>
  <c r="L51" i="35"/>
  <c r="I51" i="35"/>
  <c r="F51" i="35"/>
  <c r="I40" i="35"/>
  <c r="I34" i="35"/>
  <c r="N12" i="6"/>
  <c r="O12" i="6"/>
  <c r="L86" i="6"/>
  <c r="O86" i="6"/>
  <c r="L134" i="6"/>
  <c r="M134" i="6"/>
  <c r="Y12" i="6"/>
  <c r="I12" i="6" s="1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I59" i="6" s="1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I86" i="6" s="1"/>
  <c r="Y87" i="6"/>
  <c r="Y88" i="6"/>
  <c r="Y89" i="6"/>
  <c r="Y90" i="6"/>
  <c r="Y91" i="6"/>
  <c r="Y92" i="6"/>
  <c r="Y93" i="6"/>
  <c r="Y94" i="6"/>
  <c r="Y95" i="6"/>
  <c r="Y96" i="6"/>
  <c r="Y97" i="6"/>
  <c r="Y98" i="6"/>
  <c r="Y99" i="6"/>
  <c r="Y100" i="6"/>
  <c r="Y101" i="6"/>
  <c r="Y102" i="6"/>
  <c r="Y103" i="6"/>
  <c r="Y104" i="6"/>
  <c r="Y105" i="6"/>
  <c r="Y106" i="6"/>
  <c r="Y107" i="6"/>
  <c r="Y108" i="6"/>
  <c r="Y109" i="6"/>
  <c r="Y110" i="6"/>
  <c r="Y111" i="6"/>
  <c r="Y112" i="6"/>
  <c r="Y113" i="6"/>
  <c r="Y114" i="6"/>
  <c r="Y115" i="6"/>
  <c r="Y116" i="6"/>
  <c r="Y117" i="6"/>
  <c r="Y118" i="6"/>
  <c r="Y119" i="6"/>
  <c r="Y120" i="6"/>
  <c r="Y121" i="6"/>
  <c r="Y122" i="6"/>
  <c r="Y123" i="6"/>
  <c r="Y124" i="6"/>
  <c r="Y125" i="6"/>
  <c r="Y126" i="6"/>
  <c r="Y127" i="6"/>
  <c r="Y128" i="6"/>
  <c r="Y129" i="6"/>
  <c r="Y130" i="6"/>
  <c r="Y131" i="6"/>
  <c r="Y132" i="6"/>
  <c r="Y133" i="6"/>
  <c r="Y134" i="6"/>
  <c r="I134" i="6" s="1"/>
  <c r="Y135" i="6"/>
  <c r="Y136" i="6"/>
  <c r="Y137" i="6"/>
  <c r="Y138" i="6"/>
  <c r="Y139" i="6"/>
  <c r="I140" i="6" s="1"/>
  <c r="Y140" i="6"/>
  <c r="Y141" i="6"/>
  <c r="Y142" i="6"/>
  <c r="Y143" i="6"/>
  <c r="Y144" i="6"/>
  <c r="Y145" i="6"/>
  <c r="Y146" i="6"/>
  <c r="I146" i="6" s="1"/>
  <c r="Y147" i="6"/>
  <c r="I147" i="6" s="1"/>
  <c r="Y148" i="6"/>
  <c r="Y149" i="6"/>
  <c r="Y150" i="6"/>
  <c r="Y151" i="6"/>
  <c r="Y152" i="6"/>
  <c r="Y153" i="6"/>
  <c r="Y154" i="6"/>
  <c r="Y155" i="6"/>
  <c r="Y11" i="6"/>
  <c r="X12" i="6"/>
  <c r="H12" i="6" s="1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H59" i="6" s="1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H86" i="6" s="1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H134" i="6" s="1"/>
  <c r="X135" i="6"/>
  <c r="X136" i="6"/>
  <c r="X137" i="6"/>
  <c r="X138" i="6"/>
  <c r="X139" i="6"/>
  <c r="H140" i="6" s="1"/>
  <c r="X140" i="6"/>
  <c r="X141" i="6"/>
  <c r="X142" i="6"/>
  <c r="X143" i="6"/>
  <c r="X144" i="6"/>
  <c r="X145" i="6"/>
  <c r="X146" i="6"/>
  <c r="H146" i="6" s="1"/>
  <c r="X147" i="6"/>
  <c r="H147" i="6" s="1"/>
  <c r="X148" i="6"/>
  <c r="X149" i="6"/>
  <c r="X150" i="6"/>
  <c r="X151" i="6"/>
  <c r="X152" i="6"/>
  <c r="X153" i="6"/>
  <c r="X154" i="6"/>
  <c r="X155" i="6"/>
  <c r="X11" i="6"/>
  <c r="L27" i="35"/>
  <c r="L26" i="35"/>
  <c r="L38" i="35"/>
  <c r="L37" i="35"/>
  <c r="L36" i="35"/>
  <c r="L44" i="35"/>
  <c r="L43" i="35"/>
  <c r="L42" i="35"/>
  <c r="L48" i="35"/>
  <c r="L47" i="35"/>
  <c r="L46" i="35"/>
  <c r="I48" i="35"/>
  <c r="I47" i="35"/>
  <c r="I46" i="35"/>
  <c r="I44" i="35"/>
  <c r="I43" i="35"/>
  <c r="I42" i="35"/>
  <c r="I38" i="35"/>
  <c r="I37" i="35"/>
  <c r="I36" i="35"/>
  <c r="I27" i="35"/>
  <c r="I26" i="35"/>
  <c r="W12" i="6"/>
  <c r="G12" i="6" s="1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G59" i="6" s="1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G86" i="6" s="1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W112" i="6"/>
  <c r="W113" i="6"/>
  <c r="W114" i="6"/>
  <c r="W115" i="6"/>
  <c r="W116" i="6"/>
  <c r="W117" i="6"/>
  <c r="W118" i="6"/>
  <c r="W119" i="6"/>
  <c r="W120" i="6"/>
  <c r="W121" i="6"/>
  <c r="W122" i="6"/>
  <c r="W123" i="6"/>
  <c r="W124" i="6"/>
  <c r="W125" i="6"/>
  <c r="W126" i="6"/>
  <c r="W127" i="6"/>
  <c r="W128" i="6"/>
  <c r="W129" i="6"/>
  <c r="W130" i="6"/>
  <c r="W131" i="6"/>
  <c r="W132" i="6"/>
  <c r="W133" i="6"/>
  <c r="W134" i="6"/>
  <c r="G134" i="6" s="1"/>
  <c r="W135" i="6"/>
  <c r="W136" i="6"/>
  <c r="W137" i="6"/>
  <c r="W138" i="6"/>
  <c r="W139" i="6"/>
  <c r="G140" i="6" s="1"/>
  <c r="W140" i="6"/>
  <c r="W141" i="6"/>
  <c r="W142" i="6"/>
  <c r="W143" i="6"/>
  <c r="W144" i="6"/>
  <c r="W145" i="6"/>
  <c r="W146" i="6"/>
  <c r="G146" i="6" s="1"/>
  <c r="W147" i="6"/>
  <c r="G147" i="6" s="1"/>
  <c r="W148" i="6"/>
  <c r="W149" i="6"/>
  <c r="W150" i="6"/>
  <c r="W151" i="6"/>
  <c r="W152" i="6"/>
  <c r="W153" i="6"/>
  <c r="W154" i="6"/>
  <c r="W155" i="6"/>
  <c r="W11" i="6"/>
  <c r="F43" i="35"/>
  <c r="F44" i="35"/>
  <c r="F46" i="35"/>
  <c r="F47" i="35"/>
  <c r="F42" i="35"/>
  <c r="F40" i="35"/>
  <c r="F38" i="35"/>
  <c r="F34" i="35"/>
  <c r="F32" i="35"/>
  <c r="W355" i="6"/>
  <c r="W356" i="6"/>
  <c r="W357" i="6"/>
  <c r="W358" i="6"/>
  <c r="W359" i="6"/>
  <c r="W360" i="6"/>
  <c r="W361" i="6"/>
  <c r="W362" i="6"/>
  <c r="W363" i="6"/>
  <c r="W364" i="6"/>
  <c r="W365" i="6"/>
  <c r="W366" i="6"/>
  <c r="W367" i="6"/>
  <c r="W368" i="6"/>
  <c r="W369" i="6"/>
  <c r="W370" i="6"/>
  <c r="W371" i="6"/>
  <c r="W372" i="6"/>
  <c r="W373" i="6"/>
  <c r="W374" i="6"/>
  <c r="W375" i="6"/>
  <c r="W376" i="6"/>
  <c r="W377" i="6"/>
  <c r="W378" i="6"/>
  <c r="W379" i="6"/>
  <c r="W380" i="6"/>
  <c r="W381" i="6"/>
  <c r="W382" i="6"/>
  <c r="W383" i="6"/>
  <c r="W384" i="6"/>
  <c r="W385" i="6"/>
  <c r="W386" i="6"/>
  <c r="W387" i="6"/>
  <c r="W388" i="6"/>
  <c r="W389" i="6"/>
  <c r="W390" i="6"/>
  <c r="W391" i="6"/>
  <c r="W392" i="6"/>
  <c r="W393" i="6"/>
  <c r="W394" i="6"/>
  <c r="W395" i="6"/>
  <c r="W396" i="6"/>
  <c r="W397" i="6"/>
  <c r="W398" i="6"/>
  <c r="W399" i="6"/>
  <c r="W400" i="6"/>
  <c r="W401" i="6"/>
  <c r="W402" i="6"/>
  <c r="W403" i="6"/>
  <c r="W404" i="6"/>
  <c r="W405" i="6"/>
  <c r="W406" i="6"/>
  <c r="W407" i="6"/>
  <c r="W408" i="6"/>
  <c r="W409" i="6"/>
  <c r="W410" i="6"/>
  <c r="W411" i="6"/>
  <c r="W412" i="6"/>
  <c r="W413" i="6"/>
  <c r="W414" i="6"/>
  <c r="W415" i="6"/>
  <c r="W416" i="6"/>
  <c r="W417" i="6"/>
  <c r="W418" i="6"/>
  <c r="W419" i="6"/>
  <c r="W420" i="6"/>
  <c r="W421" i="6"/>
  <c r="W422" i="6"/>
  <c r="W423" i="6"/>
  <c r="W424" i="6"/>
  <c r="W425" i="6"/>
  <c r="W426" i="6"/>
  <c r="W427" i="6"/>
  <c r="W428" i="6"/>
  <c r="W429" i="6"/>
  <c r="W430" i="6"/>
  <c r="W431" i="6"/>
  <c r="W432" i="6"/>
  <c r="W433" i="6"/>
  <c r="W434" i="6"/>
  <c r="W435" i="6"/>
  <c r="W436" i="6"/>
  <c r="W437" i="6"/>
  <c r="W438" i="6"/>
  <c r="W439" i="6"/>
  <c r="W440" i="6"/>
  <c r="W441" i="6"/>
  <c r="W442" i="6"/>
  <c r="W443" i="6"/>
  <c r="W444" i="6"/>
  <c r="W445" i="6"/>
  <c r="W446" i="6"/>
  <c r="W447" i="6"/>
  <c r="W448" i="6"/>
  <c r="W449" i="6"/>
  <c r="W450" i="6"/>
  <c r="W451" i="6"/>
  <c r="W452" i="6"/>
  <c r="W453" i="6"/>
  <c r="W454" i="6"/>
  <c r="W455" i="6"/>
  <c r="W456" i="6"/>
  <c r="W457" i="6"/>
  <c r="W458" i="6"/>
  <c r="W459" i="6"/>
  <c r="W460" i="6"/>
  <c r="W461" i="6"/>
  <c r="W462" i="6"/>
  <c r="W463" i="6"/>
  <c r="W464" i="6"/>
  <c r="W465" i="6"/>
  <c r="W466" i="6"/>
  <c r="W467" i="6"/>
  <c r="W468" i="6"/>
  <c r="W469" i="6"/>
  <c r="W470" i="6"/>
  <c r="W471" i="6"/>
  <c r="W472" i="6"/>
  <c r="W473" i="6"/>
  <c r="W474" i="6"/>
  <c r="W475" i="6"/>
  <c r="W476" i="6"/>
  <c r="W477" i="6"/>
  <c r="W478" i="6"/>
  <c r="W479" i="6"/>
  <c r="W480" i="6"/>
  <c r="W481" i="6"/>
  <c r="W482" i="6"/>
  <c r="W483" i="6"/>
  <c r="W484" i="6"/>
  <c r="W485" i="6"/>
  <c r="W486" i="6"/>
  <c r="W488" i="6"/>
  <c r="W489" i="6"/>
  <c r="W490" i="6"/>
  <c r="W491" i="6"/>
  <c r="W492" i="6"/>
  <c r="W493" i="6"/>
  <c r="W494" i="6"/>
  <c r="W495" i="6"/>
  <c r="W496" i="6"/>
  <c r="W497" i="6"/>
  <c r="W498" i="6"/>
  <c r="W499" i="6"/>
  <c r="W500" i="6"/>
  <c r="W501" i="6"/>
  <c r="W502" i="6"/>
  <c r="W503" i="6"/>
  <c r="W504" i="6"/>
  <c r="W505" i="6"/>
  <c r="W506" i="6"/>
  <c r="W507" i="6"/>
  <c r="W508" i="6"/>
  <c r="W509" i="6"/>
  <c r="W510" i="6"/>
  <c r="W511" i="6"/>
  <c r="W512" i="6"/>
  <c r="W513" i="6"/>
  <c r="W514" i="6"/>
  <c r="W515" i="6"/>
  <c r="W516" i="6"/>
  <c r="W517" i="6"/>
  <c r="W518" i="6"/>
  <c r="W519" i="6"/>
  <c r="W520" i="6"/>
  <c r="W521" i="6"/>
  <c r="W522" i="6"/>
  <c r="W523" i="6"/>
  <c r="W524" i="6"/>
  <c r="W525" i="6"/>
  <c r="W526" i="6"/>
  <c r="W527" i="6"/>
  <c r="W528" i="6"/>
  <c r="W529" i="6"/>
  <c r="W530" i="6"/>
  <c r="W531" i="6"/>
  <c r="W532" i="6"/>
  <c r="W533" i="6"/>
  <c r="W534" i="6"/>
  <c r="W535" i="6"/>
  <c r="W536" i="6"/>
  <c r="W537" i="6"/>
  <c r="W538" i="6"/>
  <c r="W539" i="6"/>
  <c r="W540" i="6"/>
  <c r="W541" i="6"/>
  <c r="W542" i="6"/>
  <c r="W543" i="6"/>
  <c r="W157" i="6"/>
  <c r="W158" i="6"/>
  <c r="G158" i="6" s="1"/>
  <c r="W159" i="6"/>
  <c r="W160" i="6"/>
  <c r="W161" i="6"/>
  <c r="W162" i="6"/>
  <c r="W163" i="6"/>
  <c r="W164" i="6"/>
  <c r="W165" i="6"/>
  <c r="W166" i="6"/>
  <c r="W167" i="6"/>
  <c r="W168" i="6"/>
  <c r="W169" i="6"/>
  <c r="W170" i="6"/>
  <c r="W171" i="6"/>
  <c r="W172" i="6"/>
  <c r="W173" i="6"/>
  <c r="W174" i="6"/>
  <c r="W175" i="6"/>
  <c r="W176" i="6"/>
  <c r="W177" i="6"/>
  <c r="W178" i="6"/>
  <c r="W179" i="6"/>
  <c r="W180" i="6"/>
  <c r="W181" i="6"/>
  <c r="W182" i="6"/>
  <c r="W183" i="6"/>
  <c r="W184" i="6"/>
  <c r="W185" i="6"/>
  <c r="W186" i="6"/>
  <c r="W187" i="6"/>
  <c r="W188" i="6"/>
  <c r="W189" i="6"/>
  <c r="W190" i="6"/>
  <c r="W191" i="6"/>
  <c r="W192" i="6"/>
  <c r="W193" i="6"/>
  <c r="W194" i="6"/>
  <c r="W195" i="6"/>
  <c r="W196" i="6"/>
  <c r="W197" i="6"/>
  <c r="W198" i="6"/>
  <c r="W199" i="6"/>
  <c r="W200" i="6"/>
  <c r="W201" i="6"/>
  <c r="W202" i="6"/>
  <c r="W203" i="6"/>
  <c r="W204" i="6"/>
  <c r="W205" i="6"/>
  <c r="W206" i="6"/>
  <c r="W207" i="6"/>
  <c r="W208" i="6"/>
  <c r="W209" i="6"/>
  <c r="W210" i="6"/>
  <c r="W211" i="6"/>
  <c r="W212" i="6"/>
  <c r="W213" i="6"/>
  <c r="W214" i="6"/>
  <c r="W215" i="6"/>
  <c r="W216" i="6"/>
  <c r="W217" i="6"/>
  <c r="W218" i="6"/>
  <c r="W219" i="6"/>
  <c r="W220" i="6"/>
  <c r="W221" i="6"/>
  <c r="W222" i="6"/>
  <c r="W223" i="6"/>
  <c r="W224" i="6"/>
  <c r="W225" i="6"/>
  <c r="W226" i="6"/>
  <c r="W227" i="6"/>
  <c r="W228" i="6"/>
  <c r="W229" i="6"/>
  <c r="W230" i="6"/>
  <c r="W231" i="6"/>
  <c r="W232" i="6"/>
  <c r="W233" i="6"/>
  <c r="W234" i="6"/>
  <c r="W235" i="6"/>
  <c r="W236" i="6"/>
  <c r="W237" i="6"/>
  <c r="W238" i="6"/>
  <c r="W239" i="6"/>
  <c r="W240" i="6"/>
  <c r="W241" i="6"/>
  <c r="W242" i="6"/>
  <c r="W243" i="6"/>
  <c r="W244" i="6"/>
  <c r="W245" i="6"/>
  <c r="W246" i="6"/>
  <c r="W247" i="6"/>
  <c r="W248" i="6"/>
  <c r="W249" i="6"/>
  <c r="W250" i="6"/>
  <c r="W251" i="6"/>
  <c r="W252" i="6"/>
  <c r="W253" i="6"/>
  <c r="W254" i="6"/>
  <c r="W255" i="6"/>
  <c r="W256" i="6"/>
  <c r="W257" i="6"/>
  <c r="W258" i="6"/>
  <c r="W259" i="6"/>
  <c r="W260" i="6"/>
  <c r="W261" i="6"/>
  <c r="W262" i="6"/>
  <c r="W263" i="6"/>
  <c r="W264" i="6"/>
  <c r="W265" i="6"/>
  <c r="W266" i="6"/>
  <c r="W267" i="6"/>
  <c r="W268" i="6"/>
  <c r="W269" i="6"/>
  <c r="W270" i="6"/>
  <c r="W271" i="6"/>
  <c r="W272" i="6"/>
  <c r="W273" i="6"/>
  <c r="W274" i="6"/>
  <c r="W275" i="6"/>
  <c r="W276" i="6"/>
  <c r="W277" i="6"/>
  <c r="W278" i="6"/>
  <c r="W279" i="6"/>
  <c r="W280" i="6"/>
  <c r="W281" i="6"/>
  <c r="W282" i="6"/>
  <c r="W283" i="6"/>
  <c r="W284" i="6"/>
  <c r="W285" i="6"/>
  <c r="W286" i="6"/>
  <c r="W287" i="6"/>
  <c r="W288" i="6"/>
  <c r="W289" i="6"/>
  <c r="W290" i="6"/>
  <c r="W291" i="6"/>
  <c r="W292" i="6"/>
  <c r="W293" i="6"/>
  <c r="W294" i="6"/>
  <c r="W295" i="6"/>
  <c r="W296" i="6"/>
  <c r="W297" i="6"/>
  <c r="W298" i="6"/>
  <c r="W299" i="6"/>
  <c r="W300" i="6"/>
  <c r="W301" i="6"/>
  <c r="W302" i="6"/>
  <c r="W303" i="6"/>
  <c r="W304" i="6"/>
  <c r="W305" i="6"/>
  <c r="W306" i="6"/>
  <c r="W307" i="6"/>
  <c r="W308" i="6"/>
  <c r="W309" i="6"/>
  <c r="W310" i="6"/>
  <c r="W311" i="6"/>
  <c r="W312" i="6"/>
  <c r="W313" i="6"/>
  <c r="W314" i="6"/>
  <c r="W315" i="6"/>
  <c r="W316" i="6"/>
  <c r="W317" i="6"/>
  <c r="W318" i="6"/>
  <c r="W319" i="6"/>
  <c r="W320" i="6"/>
  <c r="W321" i="6"/>
  <c r="W322" i="6"/>
  <c r="W323" i="6"/>
  <c r="W324" i="6"/>
  <c r="W325" i="6"/>
  <c r="W326" i="6"/>
  <c r="W327" i="6"/>
  <c r="W328" i="6"/>
  <c r="W329" i="6"/>
  <c r="W330" i="6"/>
  <c r="W331" i="6"/>
  <c r="W332" i="6"/>
  <c r="W333" i="6"/>
  <c r="W334" i="6"/>
  <c r="W335" i="6"/>
  <c r="W336" i="6"/>
  <c r="W337" i="6"/>
  <c r="W338" i="6"/>
  <c r="W339" i="6"/>
  <c r="W340" i="6"/>
  <c r="W341" i="6"/>
  <c r="W342" i="6"/>
  <c r="W343" i="6"/>
  <c r="W344" i="6"/>
  <c r="W345" i="6"/>
  <c r="W346" i="6"/>
  <c r="W347" i="6"/>
  <c r="W348" i="6"/>
  <c r="W349" i="6"/>
  <c r="W350" i="6"/>
  <c r="W351" i="6"/>
  <c r="W352" i="6"/>
  <c r="W353" i="6"/>
  <c r="A41" i="35"/>
  <c r="A36" i="35"/>
  <c r="A35" i="35"/>
  <c r="A26" i="35"/>
  <c r="A27" i="35"/>
  <c r="A28" i="35"/>
  <c r="A29" i="35"/>
  <c r="A30" i="35"/>
  <c r="A31" i="35"/>
  <c r="A32" i="35"/>
  <c r="A33" i="35"/>
  <c r="A25" i="35"/>
  <c r="G4" i="6"/>
  <c r="H4" i="6"/>
  <c r="I4" i="6"/>
  <c r="J4" i="6"/>
  <c r="K4" i="6"/>
  <c r="L4" i="6"/>
  <c r="M4" i="6"/>
  <c r="N4" i="6"/>
  <c r="O4" i="6"/>
  <c r="G5" i="6"/>
  <c r="H5" i="6"/>
  <c r="I5" i="6"/>
  <c r="J5" i="6"/>
  <c r="L5" i="6"/>
  <c r="M5" i="6"/>
  <c r="N5" i="6"/>
  <c r="O5" i="6"/>
  <c r="O3" i="6"/>
  <c r="N3" i="6"/>
  <c r="M3" i="6"/>
  <c r="L3" i="6"/>
  <c r="K3" i="6"/>
  <c r="J3" i="6"/>
  <c r="I3" i="6"/>
  <c r="H3" i="6"/>
  <c r="G3" i="6"/>
  <c r="H2" i="6"/>
  <c r="I2" i="6"/>
  <c r="J2" i="6"/>
  <c r="K2" i="6"/>
  <c r="L2" i="6"/>
  <c r="M2" i="6"/>
  <c r="N2" i="6"/>
  <c r="G2" i="6"/>
  <c r="Y81" i="35"/>
  <c r="X81" i="35"/>
  <c r="V81" i="35"/>
  <c r="U81" i="35"/>
  <c r="S81" i="35"/>
  <c r="R81" i="35"/>
  <c r="N81" i="35"/>
  <c r="M81" i="35"/>
  <c r="K81" i="35"/>
  <c r="J81" i="35"/>
  <c r="H81" i="35"/>
  <c r="G81" i="35"/>
  <c r="E81" i="35"/>
  <c r="D81" i="35"/>
  <c r="Y70" i="35"/>
  <c r="X70" i="35"/>
  <c r="V70" i="35"/>
  <c r="U70" i="35"/>
  <c r="S70" i="35"/>
  <c r="R70" i="35"/>
  <c r="N70" i="35"/>
  <c r="M70" i="35"/>
  <c r="K70" i="35"/>
  <c r="J70" i="35"/>
  <c r="H70" i="35"/>
  <c r="G70" i="35"/>
  <c r="E70" i="35"/>
  <c r="D70" i="35"/>
  <c r="Y64" i="35"/>
  <c r="X64" i="35"/>
  <c r="V64" i="35"/>
  <c r="U64" i="35"/>
  <c r="U82" i="35" s="1"/>
  <c r="S64" i="35"/>
  <c r="S82" i="35" s="1"/>
  <c r="R64" i="35"/>
  <c r="R82" i="35" s="1"/>
  <c r="N64" i="35"/>
  <c r="M64" i="35"/>
  <c r="K64" i="35"/>
  <c r="J64" i="35"/>
  <c r="H64" i="35"/>
  <c r="G64" i="35"/>
  <c r="E64" i="35"/>
  <c r="D64" i="35"/>
  <c r="Y51" i="35"/>
  <c r="X51" i="35"/>
  <c r="V51" i="35"/>
  <c r="U51" i="35"/>
  <c r="S51" i="35"/>
  <c r="R51" i="35"/>
  <c r="Q51" i="35"/>
  <c r="P51" i="35"/>
  <c r="N51" i="35"/>
  <c r="M51" i="35"/>
  <c r="K51" i="35"/>
  <c r="J51" i="35"/>
  <c r="H51" i="35"/>
  <c r="G51" i="35"/>
  <c r="E51" i="35"/>
  <c r="D51" i="35"/>
  <c r="Y40" i="35"/>
  <c r="X40" i="35"/>
  <c r="V40" i="35"/>
  <c r="U40" i="35"/>
  <c r="S40" i="35"/>
  <c r="R40" i="35"/>
  <c r="P40" i="35"/>
  <c r="N40" i="35"/>
  <c r="M40" i="35"/>
  <c r="K40" i="35"/>
  <c r="J40" i="35"/>
  <c r="H40" i="35"/>
  <c r="G40" i="35"/>
  <c r="E40" i="35"/>
  <c r="D40" i="35"/>
  <c r="Q37" i="35"/>
  <c r="Q40" i="35" s="1"/>
  <c r="Y34" i="35"/>
  <c r="Y52" i="35" s="1"/>
  <c r="X34" i="35"/>
  <c r="X52" i="35" s="1"/>
  <c r="V34" i="35"/>
  <c r="U34" i="35"/>
  <c r="U52" i="35" s="1"/>
  <c r="S34" i="35"/>
  <c r="S52" i="35" s="1"/>
  <c r="R34" i="35"/>
  <c r="R52" i="35" s="1"/>
  <c r="Q34" i="35"/>
  <c r="P34" i="35"/>
  <c r="N34" i="35"/>
  <c r="M34" i="35"/>
  <c r="K34" i="35"/>
  <c r="J34" i="35"/>
  <c r="H34" i="35"/>
  <c r="G34" i="35"/>
  <c r="E34" i="35"/>
  <c r="D34" i="35"/>
  <c r="X20" i="35"/>
  <c r="J20" i="35"/>
  <c r="X15" i="35"/>
  <c r="U15" i="35"/>
  <c r="U20" i="35" s="1"/>
  <c r="R15" i="35"/>
  <c r="R20" i="35" s="1"/>
  <c r="Q15" i="35"/>
  <c r="Q20" i="35" s="1"/>
  <c r="P15" i="35"/>
  <c r="P20" i="35" s="1"/>
  <c r="M15" i="35"/>
  <c r="M20" i="35" s="1"/>
  <c r="J15" i="35"/>
  <c r="X8" i="35"/>
  <c r="U8" i="35"/>
  <c r="R8" i="35"/>
  <c r="M8" i="35"/>
  <c r="J8" i="35"/>
  <c r="G8" i="35"/>
  <c r="D8" i="35"/>
  <c r="F6" i="6"/>
  <c r="E6" i="6"/>
  <c r="E5" i="6"/>
  <c r="E4" i="6"/>
  <c r="E3" i="6"/>
  <c r="S530" i="6"/>
  <c r="U530" i="6"/>
  <c r="V530" i="6"/>
  <c r="AF530" i="6"/>
  <c r="AG530" i="6"/>
  <c r="T530" i="6"/>
  <c r="T531" i="6"/>
  <c r="V542" i="6"/>
  <c r="V541" i="6"/>
  <c r="F541" i="6" s="1"/>
  <c r="V540" i="6"/>
  <c r="F540" i="6" s="1"/>
  <c r="F539" i="6" s="1"/>
  <c r="V539" i="6"/>
  <c r="V538" i="6"/>
  <c r="F538" i="6" s="1"/>
  <c r="V537" i="6"/>
  <c r="V536" i="6"/>
  <c r="F536" i="6" s="1"/>
  <c r="F535" i="6" s="1"/>
  <c r="V535" i="6"/>
  <c r="V534" i="6"/>
  <c r="F534" i="6" s="1"/>
  <c r="V533" i="6"/>
  <c r="F533" i="6" s="1"/>
  <c r="V532" i="6"/>
  <c r="F532" i="6" s="1"/>
  <c r="V529" i="6"/>
  <c r="F529" i="6" s="1"/>
  <c r="V528" i="6"/>
  <c r="F528" i="6" s="1"/>
  <c r="V527" i="6"/>
  <c r="F527" i="6" s="1"/>
  <c r="V525" i="6"/>
  <c r="V524" i="6"/>
  <c r="V523" i="6"/>
  <c r="F523" i="6" s="1"/>
  <c r="V522" i="6"/>
  <c r="F522" i="6" s="1"/>
  <c r="V521" i="6"/>
  <c r="F521" i="6" s="1"/>
  <c r="F520" i="6" s="1"/>
  <c r="V520" i="6"/>
  <c r="V518" i="6"/>
  <c r="V517" i="6"/>
  <c r="V516" i="6"/>
  <c r="F516" i="6" s="1"/>
  <c r="V514" i="6"/>
  <c r="F514" i="6" s="1"/>
  <c r="V513" i="6"/>
  <c r="F513" i="6" s="1"/>
  <c r="V511" i="6"/>
  <c r="V510" i="6"/>
  <c r="V509" i="6"/>
  <c r="F509" i="6" s="1"/>
  <c r="V508" i="6"/>
  <c r="F508" i="6" s="1"/>
  <c r="V507" i="6"/>
  <c r="F507" i="6" s="1"/>
  <c r="F506" i="6" s="1"/>
  <c r="V506" i="6"/>
  <c r="V505" i="6"/>
  <c r="F505" i="6" s="1"/>
  <c r="F504" i="6" s="1"/>
  <c r="V504" i="6"/>
  <c r="V503" i="6"/>
  <c r="V502" i="6"/>
  <c r="F502" i="6" s="1"/>
  <c r="F501" i="6" s="1"/>
  <c r="V501" i="6"/>
  <c r="V500" i="6"/>
  <c r="F500" i="6" s="1"/>
  <c r="V498" i="6"/>
  <c r="V497" i="6"/>
  <c r="F497" i="6" s="1"/>
  <c r="F496" i="6" s="1"/>
  <c r="V496" i="6"/>
  <c r="V495" i="6"/>
  <c r="V494" i="6"/>
  <c r="F494" i="6" s="1"/>
  <c r="V493" i="6"/>
  <c r="F493" i="6" s="1"/>
  <c r="V492" i="6"/>
  <c r="F492" i="6" s="1"/>
  <c r="V491" i="6"/>
  <c r="F491" i="6" s="1"/>
  <c r="V490" i="6"/>
  <c r="V489" i="6"/>
  <c r="V488" i="6"/>
  <c r="V356" i="6"/>
  <c r="V357" i="6"/>
  <c r="V358" i="6"/>
  <c r="F358" i="6" s="1"/>
  <c r="F357" i="6" s="1"/>
  <c r="V359" i="6"/>
  <c r="F359" i="6" s="1"/>
  <c r="V360" i="6"/>
  <c r="F360" i="6" s="1"/>
  <c r="V361" i="6"/>
  <c r="V362" i="6"/>
  <c r="F362" i="6" s="1"/>
  <c r="V363" i="6"/>
  <c r="V365" i="6"/>
  <c r="F365" i="6" s="1"/>
  <c r="V367" i="6"/>
  <c r="F367" i="6" s="1"/>
  <c r="V368" i="6"/>
  <c r="F368" i="6" s="1"/>
  <c r="V370" i="6"/>
  <c r="F370" i="6" s="1"/>
  <c r="F369" i="6" s="1"/>
  <c r="V371" i="6"/>
  <c r="F371" i="6" s="1"/>
  <c r="V372" i="6"/>
  <c r="V373" i="6"/>
  <c r="V374" i="6"/>
  <c r="F374" i="6" s="1"/>
  <c r="V376" i="6"/>
  <c r="F376" i="6" s="1"/>
  <c r="V377" i="6"/>
  <c r="F377" i="6" s="1"/>
  <c r="V378" i="6"/>
  <c r="F378" i="6" s="1"/>
  <c r="V379" i="6"/>
  <c r="V380" i="6"/>
  <c r="F380" i="6" s="1"/>
  <c r="V381" i="6"/>
  <c r="F381" i="6" s="1"/>
  <c r="V382" i="6"/>
  <c r="F382" i="6" s="1"/>
  <c r="V383" i="6"/>
  <c r="F383" i="6" s="1"/>
  <c r="V384" i="6"/>
  <c r="F384" i="6" s="1"/>
  <c r="V385" i="6"/>
  <c r="F385" i="6" s="1"/>
  <c r="V386" i="6"/>
  <c r="V387" i="6"/>
  <c r="F387" i="6" s="1"/>
  <c r="F386" i="6" s="1"/>
  <c r="V388" i="6"/>
  <c r="F388" i="6" s="1"/>
  <c r="V389" i="6"/>
  <c r="F389" i="6" s="1"/>
  <c r="V390" i="6"/>
  <c r="F390" i="6" s="1"/>
  <c r="V391" i="6"/>
  <c r="F391" i="6" s="1"/>
  <c r="V392" i="6"/>
  <c r="F392" i="6" s="1"/>
  <c r="V393" i="6"/>
  <c r="F393" i="6" s="1"/>
  <c r="V394" i="6"/>
  <c r="V395" i="6"/>
  <c r="V399" i="6"/>
  <c r="F399" i="6" s="1"/>
  <c r="V400" i="6"/>
  <c r="V401" i="6"/>
  <c r="F401" i="6" s="1"/>
  <c r="F400" i="6" s="1"/>
  <c r="V402" i="6"/>
  <c r="F402" i="6" s="1"/>
  <c r="V403" i="6"/>
  <c r="V404" i="6"/>
  <c r="V405" i="6"/>
  <c r="F405" i="6" s="1"/>
  <c r="V406" i="6"/>
  <c r="F406" i="6" s="1"/>
  <c r="V407" i="6"/>
  <c r="F407" i="6" s="1"/>
  <c r="V408" i="6"/>
  <c r="F408" i="6" s="1"/>
  <c r="V409" i="6"/>
  <c r="F409" i="6" s="1"/>
  <c r="V410" i="6"/>
  <c r="F410" i="6" s="1"/>
  <c r="V411" i="6"/>
  <c r="F411" i="6" s="1"/>
  <c r="V412" i="6"/>
  <c r="F412" i="6" s="1"/>
  <c r="V413" i="6"/>
  <c r="F413" i="6" s="1"/>
  <c r="V414" i="6"/>
  <c r="F414" i="6" s="1"/>
  <c r="V415" i="6"/>
  <c r="F415" i="6" s="1"/>
  <c r="V416" i="6"/>
  <c r="F416" i="6" s="1"/>
  <c r="V418" i="6"/>
  <c r="F418" i="6" s="1"/>
  <c r="V419" i="6"/>
  <c r="V421" i="6"/>
  <c r="F421" i="6" s="1"/>
  <c r="V422" i="6"/>
  <c r="F422" i="6" s="1"/>
  <c r="V424" i="6"/>
  <c r="F424" i="6" s="1"/>
  <c r="V425" i="6"/>
  <c r="F425" i="6" s="1"/>
  <c r="V426" i="6"/>
  <c r="F426" i="6" s="1"/>
  <c r="V427" i="6"/>
  <c r="F427" i="6" s="1"/>
  <c r="V428" i="6"/>
  <c r="F428" i="6" s="1"/>
  <c r="V429" i="6"/>
  <c r="F429" i="6" s="1"/>
  <c r="V430" i="6"/>
  <c r="F430" i="6" s="1"/>
  <c r="V431" i="6"/>
  <c r="F431" i="6" s="1"/>
  <c r="V432" i="6"/>
  <c r="F432" i="6" s="1"/>
  <c r="V433" i="6"/>
  <c r="F433" i="6" s="1"/>
  <c r="V434" i="6"/>
  <c r="F434" i="6" s="1"/>
  <c r="V435" i="6"/>
  <c r="F435" i="6" s="1"/>
  <c r="V436" i="6"/>
  <c r="V437" i="6"/>
  <c r="F437" i="6" s="1"/>
  <c r="V438" i="6"/>
  <c r="F438" i="6" s="1"/>
  <c r="V439" i="6"/>
  <c r="F439" i="6" s="1"/>
  <c r="V441" i="6"/>
  <c r="F441" i="6" s="1"/>
  <c r="V442" i="6"/>
  <c r="F442" i="6" s="1"/>
  <c r="V443" i="6"/>
  <c r="F443" i="6" s="1"/>
  <c r="V444" i="6"/>
  <c r="F444" i="6" s="1"/>
  <c r="V445" i="6"/>
  <c r="F445" i="6" s="1"/>
  <c r="V446" i="6"/>
  <c r="V447" i="6"/>
  <c r="F447" i="6" s="1"/>
  <c r="F446" i="6" s="1"/>
  <c r="V448" i="6"/>
  <c r="F448" i="6" s="1"/>
  <c r="V449" i="6"/>
  <c r="F449" i="6" s="1"/>
  <c r="V450" i="6"/>
  <c r="V451" i="6"/>
  <c r="V452" i="6"/>
  <c r="V455" i="6"/>
  <c r="V457" i="6"/>
  <c r="V458" i="6"/>
  <c r="V459" i="6"/>
  <c r="V460" i="6"/>
  <c r="F460" i="6" s="1"/>
  <c r="V461" i="6"/>
  <c r="F461" i="6" s="1"/>
  <c r="V462" i="6"/>
  <c r="F462" i="6" s="1"/>
  <c r="V463" i="6"/>
  <c r="F463" i="6" s="1"/>
  <c r="V466" i="6"/>
  <c r="F466" i="6" s="1"/>
  <c r="V469" i="6"/>
  <c r="F469" i="6" s="1"/>
  <c r="V470" i="6"/>
  <c r="F470" i="6" s="1"/>
  <c r="V471" i="6"/>
  <c r="F471" i="6" s="1"/>
  <c r="V472" i="6"/>
  <c r="V474" i="6"/>
  <c r="V475" i="6"/>
  <c r="F475" i="6" s="1"/>
  <c r="V476" i="6"/>
  <c r="F476" i="6" s="1"/>
  <c r="V477" i="6"/>
  <c r="V481" i="6"/>
  <c r="V484" i="6"/>
  <c r="V485" i="6"/>
  <c r="F485" i="6" s="1"/>
  <c r="F484" i="6" s="1"/>
  <c r="V486" i="6"/>
  <c r="F486" i="6" s="1"/>
  <c r="V355" i="6"/>
  <c r="V158" i="6"/>
  <c r="V159" i="6"/>
  <c r="V160" i="6"/>
  <c r="V161" i="6"/>
  <c r="V162" i="6"/>
  <c r="V163" i="6"/>
  <c r="F163" i="6" s="1"/>
  <c r="V164" i="6"/>
  <c r="F164" i="6" s="1"/>
  <c r="V165" i="6"/>
  <c r="F165" i="6" s="1"/>
  <c r="V167" i="6"/>
  <c r="V170" i="6"/>
  <c r="F170" i="6" s="1"/>
  <c r="V171" i="6"/>
  <c r="F171" i="6" s="1"/>
  <c r="V172" i="6"/>
  <c r="F172" i="6" s="1"/>
  <c r="V173" i="6"/>
  <c r="F173" i="6" s="1"/>
  <c r="V174" i="6"/>
  <c r="F174" i="6" s="1"/>
  <c r="V175" i="6"/>
  <c r="V177" i="6"/>
  <c r="V178" i="6"/>
  <c r="V179" i="6"/>
  <c r="F179" i="6" s="1"/>
  <c r="V180" i="6"/>
  <c r="V181" i="6"/>
  <c r="V184" i="6"/>
  <c r="V185" i="6"/>
  <c r="V186" i="6"/>
  <c r="F186" i="6" s="1"/>
  <c r="V187" i="6"/>
  <c r="F187" i="6" s="1"/>
  <c r="V188" i="6"/>
  <c r="V189" i="6"/>
  <c r="F189" i="6" s="1"/>
  <c r="V190" i="6"/>
  <c r="V191" i="6"/>
  <c r="F191" i="6" s="1"/>
  <c r="V192" i="6"/>
  <c r="V193" i="6"/>
  <c r="V194" i="6"/>
  <c r="V195" i="6"/>
  <c r="V196" i="6"/>
  <c r="F196" i="6" s="1"/>
  <c r="V197" i="6"/>
  <c r="V198" i="6"/>
  <c r="F198" i="6" s="1"/>
  <c r="V199" i="6"/>
  <c r="V200" i="6"/>
  <c r="V201" i="6"/>
  <c r="V202" i="6"/>
  <c r="F202" i="6" s="1"/>
  <c r="V203" i="6"/>
  <c r="F203" i="6" s="1"/>
  <c r="V204" i="6"/>
  <c r="F204" i="6" s="1"/>
  <c r="V205" i="6"/>
  <c r="F205" i="6" s="1"/>
  <c r="V206" i="6"/>
  <c r="F206" i="6" s="1"/>
  <c r="V207" i="6"/>
  <c r="F207" i="6" s="1"/>
  <c r="V208" i="6"/>
  <c r="V209" i="6"/>
  <c r="V210" i="6"/>
  <c r="F210" i="6" s="1"/>
  <c r="V211" i="6"/>
  <c r="F211" i="6" s="1"/>
  <c r="V212" i="6"/>
  <c r="F212" i="6" s="1"/>
  <c r="V213" i="6"/>
  <c r="F213" i="6" s="1"/>
  <c r="V214" i="6"/>
  <c r="F214" i="6" s="1"/>
  <c r="V215" i="6"/>
  <c r="V216" i="6"/>
  <c r="V217" i="6"/>
  <c r="V218" i="6"/>
  <c r="V219" i="6"/>
  <c r="F219" i="6" s="1"/>
  <c r="F218" i="6" s="1"/>
  <c r="V220" i="6"/>
  <c r="F220" i="6" s="1"/>
  <c r="V221" i="6"/>
  <c r="F221" i="6" s="1"/>
  <c r="V222" i="6"/>
  <c r="F222" i="6" s="1"/>
  <c r="V223" i="6"/>
  <c r="V224" i="6"/>
  <c r="V225" i="6"/>
  <c r="V226" i="6"/>
  <c r="F226" i="6" s="1"/>
  <c r="V227" i="6"/>
  <c r="F227" i="6" s="1"/>
  <c r="V228" i="6"/>
  <c r="V229" i="6"/>
  <c r="V230" i="6"/>
  <c r="F230" i="6" s="1"/>
  <c r="V231" i="6"/>
  <c r="F231" i="6" s="1"/>
  <c r="V232" i="6"/>
  <c r="F232" i="6" s="1"/>
  <c r="V233" i="6"/>
  <c r="V234" i="6"/>
  <c r="F234" i="6" s="1"/>
  <c r="V235" i="6"/>
  <c r="F235" i="6" s="1"/>
  <c r="V236" i="6"/>
  <c r="V238" i="6"/>
  <c r="F238" i="6" s="1"/>
  <c r="V239" i="6"/>
  <c r="F239" i="6" s="1"/>
  <c r="V240" i="6"/>
  <c r="V241" i="6"/>
  <c r="V242" i="6"/>
  <c r="F242" i="6" s="1"/>
  <c r="V243" i="6"/>
  <c r="V244" i="6"/>
  <c r="F244" i="6" s="1"/>
  <c r="V246" i="6"/>
  <c r="F246" i="6" s="1"/>
  <c r="V247" i="6"/>
  <c r="V248" i="6"/>
  <c r="F248" i="6" s="1"/>
  <c r="V249" i="6"/>
  <c r="V250" i="6"/>
  <c r="F250" i="6" s="1"/>
  <c r="V251" i="6"/>
  <c r="F251" i="6" s="1"/>
  <c r="V252" i="6"/>
  <c r="V253" i="6"/>
  <c r="F253" i="6" s="1"/>
  <c r="F252" i="6" s="1"/>
  <c r="V255" i="6"/>
  <c r="F255" i="6" s="1"/>
  <c r="V256" i="6"/>
  <c r="V257" i="6"/>
  <c r="V258" i="6"/>
  <c r="F258" i="6" s="1"/>
  <c r="V259" i="6"/>
  <c r="V260" i="6"/>
  <c r="V261" i="6"/>
  <c r="F261" i="6" s="1"/>
  <c r="F260" i="6" s="1"/>
  <c r="V262" i="6"/>
  <c r="V263" i="6"/>
  <c r="F263" i="6" s="1"/>
  <c r="F262" i="6" s="1"/>
  <c r="V264" i="6"/>
  <c r="F264" i="6" s="1"/>
  <c r="V265" i="6"/>
  <c r="V266" i="6"/>
  <c r="V267" i="6"/>
  <c r="F267" i="6" s="1"/>
  <c r="F266" i="6" s="1"/>
  <c r="V268" i="6"/>
  <c r="F268" i="6" s="1"/>
  <c r="V269" i="6"/>
  <c r="V270" i="6"/>
  <c r="V272" i="6"/>
  <c r="V273" i="6"/>
  <c r="V274" i="6"/>
  <c r="F274" i="6" s="1"/>
  <c r="V276" i="6"/>
  <c r="F276" i="6" s="1"/>
  <c r="V277" i="6"/>
  <c r="F277" i="6" s="1"/>
  <c r="V278" i="6"/>
  <c r="F278" i="6" s="1"/>
  <c r="V279" i="6"/>
  <c r="F279" i="6" s="1"/>
  <c r="V280" i="6"/>
  <c r="F280" i="6" s="1"/>
  <c r="V281" i="6"/>
  <c r="V282" i="6"/>
  <c r="V283" i="6"/>
  <c r="F283" i="6" s="1"/>
  <c r="V284" i="6"/>
  <c r="F284" i="6" s="1"/>
  <c r="V285" i="6"/>
  <c r="F285" i="6" s="1"/>
  <c r="V286" i="6"/>
  <c r="F286" i="6" s="1"/>
  <c r="V287" i="6"/>
  <c r="V288" i="6"/>
  <c r="V289" i="6"/>
  <c r="V290" i="6"/>
  <c r="F290" i="6" s="1"/>
  <c r="V291" i="6"/>
  <c r="F291" i="6" s="1"/>
  <c r="V292" i="6"/>
  <c r="F292" i="6" s="1"/>
  <c r="V293" i="6"/>
  <c r="V294" i="6"/>
  <c r="F294" i="6" s="1"/>
  <c r="F293" i="6" s="1"/>
  <c r="V295" i="6"/>
  <c r="V296" i="6"/>
  <c r="V297" i="6"/>
  <c r="V299" i="6"/>
  <c r="F299" i="6" s="1"/>
  <c r="V300" i="6"/>
  <c r="F300" i="6" s="1"/>
  <c r="V301" i="6"/>
  <c r="F301" i="6" s="1"/>
  <c r="V302" i="6"/>
  <c r="F302" i="6" s="1"/>
  <c r="V303" i="6"/>
  <c r="V305" i="6"/>
  <c r="V306" i="6"/>
  <c r="F306" i="6" s="1"/>
  <c r="V307" i="6"/>
  <c r="F307" i="6" s="1"/>
  <c r="V308" i="6"/>
  <c r="F308" i="6" s="1"/>
  <c r="V309" i="6"/>
  <c r="F309" i="6" s="1"/>
  <c r="V310" i="6"/>
  <c r="F310" i="6" s="1"/>
  <c r="V311" i="6"/>
  <c r="F311" i="6" s="1"/>
  <c r="V312" i="6"/>
  <c r="F312" i="6" s="1"/>
  <c r="V313" i="6"/>
  <c r="F313" i="6" s="1"/>
  <c r="V314" i="6"/>
  <c r="F314" i="6" s="1"/>
  <c r="V315" i="6"/>
  <c r="F315" i="6" s="1"/>
  <c r="V316" i="6"/>
  <c r="V317" i="6"/>
  <c r="F317" i="6" s="1"/>
  <c r="V318" i="6"/>
  <c r="F318" i="6" s="1"/>
  <c r="V319" i="6"/>
  <c r="F319" i="6" s="1"/>
  <c r="V320" i="6"/>
  <c r="F320" i="6" s="1"/>
  <c r="V321" i="6"/>
  <c r="V322" i="6"/>
  <c r="F322" i="6" s="1"/>
  <c r="V323" i="6"/>
  <c r="F323" i="6" s="1"/>
  <c r="V324" i="6"/>
  <c r="F324" i="6" s="1"/>
  <c r="V325" i="6"/>
  <c r="F325" i="6" s="1"/>
  <c r="V326" i="6"/>
  <c r="F326" i="6" s="1"/>
  <c r="V327" i="6"/>
  <c r="V328" i="6"/>
  <c r="F328" i="6" s="1"/>
  <c r="F327" i="6" s="1"/>
  <c r="V329" i="6"/>
  <c r="F329" i="6" s="1"/>
  <c r="V330" i="6"/>
  <c r="V331" i="6"/>
  <c r="F331" i="6" s="1"/>
  <c r="V332" i="6"/>
  <c r="F332" i="6" s="1"/>
  <c r="V333" i="6"/>
  <c r="V334" i="6"/>
  <c r="F334" i="6" s="1"/>
  <c r="F333" i="6" s="1"/>
  <c r="V335" i="6"/>
  <c r="F335" i="6" s="1"/>
  <c r="V336" i="6"/>
  <c r="V337" i="6"/>
  <c r="V338" i="6"/>
  <c r="F338" i="6" s="1"/>
  <c r="V343" i="6"/>
  <c r="V345" i="6"/>
  <c r="F345" i="6" s="1"/>
  <c r="V346" i="6"/>
  <c r="F346" i="6" s="1"/>
  <c r="V347" i="6"/>
  <c r="V349" i="6"/>
  <c r="F349" i="6" s="1"/>
  <c r="V351" i="6"/>
  <c r="F351" i="6" s="1"/>
  <c r="V352" i="6"/>
  <c r="V353" i="6"/>
  <c r="F353" i="6" s="1"/>
  <c r="F352" i="6" s="1"/>
  <c r="V157" i="6"/>
  <c r="F160" i="6"/>
  <c r="F161" i="6"/>
  <c r="F167" i="6"/>
  <c r="F175" i="6"/>
  <c r="F177" i="6"/>
  <c r="F178" i="6"/>
  <c r="F184" i="6"/>
  <c r="F185" i="6"/>
  <c r="F192" i="6"/>
  <c r="F194" i="6"/>
  <c r="F193" i="6" s="1"/>
  <c r="F199" i="6"/>
  <c r="F201" i="6"/>
  <c r="F200" i="6" s="1"/>
  <c r="F208" i="6"/>
  <c r="F209" i="6"/>
  <c r="F217" i="6"/>
  <c r="F216" i="6" s="1"/>
  <c r="F223" i="6"/>
  <c r="F224" i="6"/>
  <c r="F233" i="6"/>
  <c r="F241" i="6"/>
  <c r="F240" i="6" s="1"/>
  <c r="F247" i="6"/>
  <c r="F249" i="6"/>
  <c r="F256" i="6"/>
  <c r="F257" i="6"/>
  <c r="F265" i="6"/>
  <c r="F282" i="6"/>
  <c r="F289" i="6"/>
  <c r="F288" i="6" s="1"/>
  <c r="F297" i="6"/>
  <c r="F305" i="6"/>
  <c r="F321" i="6"/>
  <c r="V12" i="6"/>
  <c r="V13" i="6"/>
  <c r="V15" i="6"/>
  <c r="F15" i="6" s="1"/>
  <c r="V16" i="6"/>
  <c r="F16" i="6" s="1"/>
  <c r="V17" i="6"/>
  <c r="F17" i="6" s="1"/>
  <c r="V18" i="6"/>
  <c r="F18" i="6" s="1"/>
  <c r="V19" i="6"/>
  <c r="F19" i="6" s="1"/>
  <c r="V20" i="6"/>
  <c r="V21" i="6"/>
  <c r="F21" i="6" s="1"/>
  <c r="V22" i="6"/>
  <c r="V23" i="6"/>
  <c r="V24" i="6"/>
  <c r="F24" i="6" s="1"/>
  <c r="V25" i="6"/>
  <c r="F25" i="6" s="1"/>
  <c r="V26" i="6"/>
  <c r="F26" i="6" s="1"/>
  <c r="V27" i="6"/>
  <c r="F27" i="6" s="1"/>
  <c r="V28" i="6"/>
  <c r="F28" i="6" s="1"/>
  <c r="V29" i="6"/>
  <c r="V30" i="6"/>
  <c r="F30" i="6" s="1"/>
  <c r="V31" i="6"/>
  <c r="F31" i="6" s="1"/>
  <c r="V32" i="6"/>
  <c r="F32" i="6" s="1"/>
  <c r="V33" i="6"/>
  <c r="F33" i="6" s="1"/>
  <c r="V34" i="6"/>
  <c r="F34" i="6" s="1"/>
  <c r="V35" i="6"/>
  <c r="F35" i="6" s="1"/>
  <c r="V36" i="6"/>
  <c r="F36" i="6" s="1"/>
  <c r="V37" i="6"/>
  <c r="V38" i="6"/>
  <c r="F38" i="6" s="1"/>
  <c r="V39" i="6"/>
  <c r="F39" i="6" s="1"/>
  <c r="V40" i="6"/>
  <c r="F40" i="6" s="1"/>
  <c r="V41" i="6"/>
  <c r="F41" i="6" s="1"/>
  <c r="V42" i="6"/>
  <c r="V44" i="6"/>
  <c r="F44" i="6" s="1"/>
  <c r="V45" i="6"/>
  <c r="V47" i="6"/>
  <c r="V48" i="6"/>
  <c r="F48" i="6" s="1"/>
  <c r="V49" i="6"/>
  <c r="F49" i="6" s="1"/>
  <c r="V50" i="6"/>
  <c r="F50" i="6" s="1"/>
  <c r="V51" i="6"/>
  <c r="F51" i="6" s="1"/>
  <c r="V52" i="6"/>
  <c r="V53" i="6"/>
  <c r="F53" i="6" s="1"/>
  <c r="F52" i="6" s="1"/>
  <c r="V54" i="6"/>
  <c r="V55" i="6"/>
  <c r="F55" i="6" s="1"/>
  <c r="F54" i="6" s="1"/>
  <c r="V56" i="6"/>
  <c r="V58" i="6"/>
  <c r="F58" i="6" s="1"/>
  <c r="V60" i="6"/>
  <c r="V61" i="6"/>
  <c r="F61" i="6" s="1"/>
  <c r="V62" i="6"/>
  <c r="F62" i="6" s="1"/>
  <c r="V63" i="6"/>
  <c r="F63" i="6" s="1"/>
  <c r="V64" i="6"/>
  <c r="F64" i="6" s="1"/>
  <c r="V65" i="6"/>
  <c r="F65" i="6" s="1"/>
  <c r="V66" i="6"/>
  <c r="F66" i="6" s="1"/>
  <c r="V67" i="6"/>
  <c r="F67" i="6" s="1"/>
  <c r="V68" i="6"/>
  <c r="F68" i="6" s="1"/>
  <c r="V69" i="6"/>
  <c r="F69" i="6" s="1"/>
  <c r="V70" i="6"/>
  <c r="V71" i="6"/>
  <c r="F71" i="6" s="1"/>
  <c r="V72" i="6"/>
  <c r="F72" i="6" s="1"/>
  <c r="V73" i="6"/>
  <c r="F73" i="6" s="1"/>
  <c r="V74" i="6"/>
  <c r="F74" i="6" s="1"/>
  <c r="V75" i="6"/>
  <c r="F75" i="6" s="1"/>
  <c r="V76" i="6"/>
  <c r="F76" i="6" s="1"/>
  <c r="V77" i="6"/>
  <c r="V78" i="6"/>
  <c r="F78" i="6" s="1"/>
  <c r="V79" i="6"/>
  <c r="V80" i="6"/>
  <c r="F80" i="6" s="1"/>
  <c r="V81" i="6"/>
  <c r="F81" i="6" s="1"/>
  <c r="V82" i="6"/>
  <c r="F82" i="6" s="1"/>
  <c r="V83" i="6"/>
  <c r="F83" i="6" s="1"/>
  <c r="V84" i="6"/>
  <c r="F84" i="6" s="1"/>
  <c r="V85" i="6"/>
  <c r="F85" i="6" s="1"/>
  <c r="V86" i="6"/>
  <c r="V87" i="6"/>
  <c r="V88" i="6"/>
  <c r="V89" i="6"/>
  <c r="F89" i="6" s="1"/>
  <c r="F88" i="6" s="1"/>
  <c r="V90" i="6"/>
  <c r="F90" i="6" s="1"/>
  <c r="V91" i="6"/>
  <c r="V92" i="6"/>
  <c r="F92" i="6" s="1"/>
  <c r="V93" i="6"/>
  <c r="V94" i="6"/>
  <c r="F94" i="6" s="1"/>
  <c r="V95" i="6"/>
  <c r="F95" i="6" s="1"/>
  <c r="V96" i="6"/>
  <c r="V97" i="6"/>
  <c r="F97" i="6" s="1"/>
  <c r="V99" i="6"/>
  <c r="F99" i="6" s="1"/>
  <c r="V100" i="6"/>
  <c r="F100" i="6" s="1"/>
  <c r="V101" i="6"/>
  <c r="V102" i="6"/>
  <c r="V103" i="6"/>
  <c r="F103" i="6" s="1"/>
  <c r="F102" i="6" s="1"/>
  <c r="V104" i="6"/>
  <c r="F104" i="6" s="1"/>
  <c r="V105" i="6"/>
  <c r="F105" i="6" s="1"/>
  <c r="V106" i="6"/>
  <c r="V107" i="6"/>
  <c r="F107" i="6" s="1"/>
  <c r="V108" i="6"/>
  <c r="F108" i="6" s="1"/>
  <c r="V109" i="6"/>
  <c r="V110" i="6"/>
  <c r="V111" i="6"/>
  <c r="F111" i="6" s="1"/>
  <c r="F110" i="6" s="1"/>
  <c r="V113" i="6"/>
  <c r="F113" i="6" s="1"/>
  <c r="V114" i="6"/>
  <c r="V115" i="6"/>
  <c r="F115" i="6" s="1"/>
  <c r="F114" i="6" s="1"/>
  <c r="V117" i="6"/>
  <c r="F117" i="6" s="1"/>
  <c r="V118" i="6"/>
  <c r="F118" i="6" s="1"/>
  <c r="V119" i="6"/>
  <c r="F119" i="6" s="1"/>
  <c r="V120" i="6"/>
  <c r="F120" i="6" s="1"/>
  <c r="V121" i="6"/>
  <c r="V122" i="6"/>
  <c r="F122" i="6" s="1"/>
  <c r="V123" i="6"/>
  <c r="V124" i="6"/>
  <c r="F124" i="6" s="1"/>
  <c r="V125" i="6"/>
  <c r="F125" i="6" s="1"/>
  <c r="V126" i="6"/>
  <c r="V127" i="6"/>
  <c r="F127" i="6" s="1"/>
  <c r="V128" i="6"/>
  <c r="F128" i="6" s="1"/>
  <c r="V129" i="6"/>
  <c r="V130" i="6"/>
  <c r="F130" i="6" s="1"/>
  <c r="V131" i="6"/>
  <c r="V132" i="6"/>
  <c r="F132" i="6" s="1"/>
  <c r="V133" i="6"/>
  <c r="F133" i="6" s="1"/>
  <c r="V134" i="6"/>
  <c r="V135" i="6"/>
  <c r="V136" i="6"/>
  <c r="F136" i="6" s="1"/>
  <c r="V137" i="6"/>
  <c r="V138" i="6"/>
  <c r="F138" i="6" s="1"/>
  <c r="V139" i="6"/>
  <c r="F139" i="6" s="1"/>
  <c r="V140" i="6"/>
  <c r="V141" i="6"/>
  <c r="F141" i="6" s="1"/>
  <c r="V142" i="6"/>
  <c r="F142" i="6" s="1"/>
  <c r="V143" i="6"/>
  <c r="F143" i="6" s="1"/>
  <c r="V144" i="6"/>
  <c r="F144" i="6" s="1"/>
  <c r="V145" i="6"/>
  <c r="F145" i="6" s="1"/>
  <c r="V146" i="6"/>
  <c r="F146" i="6" s="1"/>
  <c r="V147" i="6"/>
  <c r="V148" i="6"/>
  <c r="V150" i="6"/>
  <c r="V151" i="6"/>
  <c r="F151" i="6" s="1"/>
  <c r="V152" i="6"/>
  <c r="F152" i="6" s="1"/>
  <c r="V153" i="6"/>
  <c r="V155" i="6"/>
  <c r="F155" i="6" s="1"/>
  <c r="V11" i="6"/>
  <c r="G361" i="9"/>
  <c r="F361" i="9"/>
  <c r="E361" i="9"/>
  <c r="D361" i="9"/>
  <c r="C361" i="9"/>
  <c r="G360" i="9"/>
  <c r="F360" i="9"/>
  <c r="E360" i="9"/>
  <c r="E362" i="9" s="1"/>
  <c r="D360" i="9"/>
  <c r="C360" i="9"/>
  <c r="G358" i="9"/>
  <c r="F358" i="9"/>
  <c r="E358" i="9"/>
  <c r="D358" i="9"/>
  <c r="C358" i="9"/>
  <c r="G357" i="9"/>
  <c r="F357" i="9"/>
  <c r="E357" i="9"/>
  <c r="D357" i="9"/>
  <c r="C357" i="9"/>
  <c r="G355" i="9"/>
  <c r="F355" i="9"/>
  <c r="E355" i="9"/>
  <c r="D355" i="9"/>
  <c r="C355" i="9"/>
  <c r="G354" i="9"/>
  <c r="F354" i="9"/>
  <c r="E354" i="9"/>
  <c r="D354" i="9"/>
  <c r="C354" i="9"/>
  <c r="G353" i="9"/>
  <c r="F353" i="9"/>
  <c r="E353" i="9"/>
  <c r="D353" i="9"/>
  <c r="C353" i="9"/>
  <c r="G352" i="9"/>
  <c r="F352" i="9"/>
  <c r="E352" i="9"/>
  <c r="D352" i="9"/>
  <c r="C352" i="9"/>
  <c r="G351" i="9"/>
  <c r="F351" i="9"/>
  <c r="E351" i="9"/>
  <c r="D351" i="9"/>
  <c r="C351" i="9"/>
  <c r="G350" i="9"/>
  <c r="F350" i="9"/>
  <c r="E350" i="9"/>
  <c r="D350" i="9"/>
  <c r="C350" i="9"/>
  <c r="G349" i="9"/>
  <c r="F349" i="9"/>
  <c r="E349" i="9"/>
  <c r="D349" i="9"/>
  <c r="C349" i="9"/>
  <c r="G348" i="9"/>
  <c r="F348" i="9"/>
  <c r="E348" i="9"/>
  <c r="D348" i="9"/>
  <c r="C348" i="9"/>
  <c r="G347" i="9"/>
  <c r="F347" i="9"/>
  <c r="E347" i="9"/>
  <c r="D347" i="9"/>
  <c r="C347" i="9"/>
  <c r="G346" i="9"/>
  <c r="F346" i="9"/>
  <c r="E346" i="9"/>
  <c r="D346" i="9"/>
  <c r="C346" i="9"/>
  <c r="G345" i="9"/>
  <c r="F345" i="9"/>
  <c r="E345" i="9"/>
  <c r="D345" i="9"/>
  <c r="C345" i="9"/>
  <c r="G344" i="9"/>
  <c r="F344" i="9"/>
  <c r="E344" i="9"/>
  <c r="V543" i="6" s="1"/>
  <c r="F543" i="6" s="1"/>
  <c r="F542" i="6" s="1"/>
  <c r="D344" i="9"/>
  <c r="C344" i="9"/>
  <c r="F343" i="9"/>
  <c r="E343" i="9"/>
  <c r="D343" i="9"/>
  <c r="C343" i="9"/>
  <c r="F342" i="9"/>
  <c r="E342" i="9"/>
  <c r="D342" i="9"/>
  <c r="C342" i="9"/>
  <c r="F341" i="9"/>
  <c r="E341" i="9"/>
  <c r="D341" i="9"/>
  <c r="C341" i="9"/>
  <c r="F340" i="9"/>
  <c r="E340" i="9"/>
  <c r="D340" i="9"/>
  <c r="C340" i="9"/>
  <c r="G339" i="9"/>
  <c r="F339" i="9"/>
  <c r="E339" i="9"/>
  <c r="D339" i="9"/>
  <c r="C339" i="9"/>
  <c r="G338" i="9"/>
  <c r="F338" i="9"/>
  <c r="E338" i="9"/>
  <c r="D338" i="9"/>
  <c r="C338" i="9"/>
  <c r="G337" i="9"/>
  <c r="F337" i="9"/>
  <c r="E337" i="9"/>
  <c r="D337" i="9"/>
  <c r="C337" i="9"/>
  <c r="G336" i="9"/>
  <c r="F336" i="9"/>
  <c r="E336" i="9"/>
  <c r="D336" i="9"/>
  <c r="C336" i="9"/>
  <c r="F335" i="9"/>
  <c r="E335" i="9"/>
  <c r="D335" i="9"/>
  <c r="C335" i="9"/>
  <c r="G334" i="9"/>
  <c r="F334" i="9"/>
  <c r="E334" i="9"/>
  <c r="D334" i="9"/>
  <c r="C334" i="9"/>
  <c r="G333" i="9"/>
  <c r="F333" i="9"/>
  <c r="E333" i="9"/>
  <c r="D333" i="9"/>
  <c r="C333" i="9"/>
  <c r="G332" i="9"/>
  <c r="F332" i="9"/>
  <c r="E332" i="9"/>
  <c r="D332" i="9"/>
  <c r="C332" i="9"/>
  <c r="F331" i="9"/>
  <c r="E331" i="9"/>
  <c r="D331" i="9"/>
  <c r="C331" i="9"/>
  <c r="F330" i="9"/>
  <c r="E330" i="9"/>
  <c r="D330" i="9"/>
  <c r="C330" i="9"/>
  <c r="F329" i="9"/>
  <c r="E329" i="9"/>
  <c r="D329" i="9"/>
  <c r="C329" i="9"/>
  <c r="F328" i="9"/>
  <c r="E328" i="9"/>
  <c r="D328" i="9"/>
  <c r="C328" i="9"/>
  <c r="G327" i="9"/>
  <c r="F327" i="9"/>
  <c r="E327" i="9"/>
  <c r="D327" i="9"/>
  <c r="C327" i="9"/>
  <c r="G326" i="9"/>
  <c r="F326" i="9"/>
  <c r="E326" i="9"/>
  <c r="D326" i="9"/>
  <c r="C326" i="9"/>
  <c r="G325" i="9"/>
  <c r="F325" i="9"/>
  <c r="E325" i="9"/>
  <c r="D325" i="9"/>
  <c r="C325" i="9"/>
  <c r="G323" i="9"/>
  <c r="F323" i="9"/>
  <c r="F324" i="9" s="1"/>
  <c r="E323" i="9"/>
  <c r="E324" i="9" s="1"/>
  <c r="D323" i="9"/>
  <c r="C323" i="9"/>
  <c r="G321" i="9"/>
  <c r="F321" i="9"/>
  <c r="E321" i="9"/>
  <c r="D321" i="9"/>
  <c r="C321" i="9"/>
  <c r="G320" i="9"/>
  <c r="F320" i="9"/>
  <c r="E320" i="9"/>
  <c r="E322" i="9" s="1"/>
  <c r="D320" i="9"/>
  <c r="C320" i="9"/>
  <c r="G318" i="9"/>
  <c r="F318" i="9"/>
  <c r="E318" i="9"/>
  <c r="D318" i="9"/>
  <c r="C318" i="9"/>
  <c r="G317" i="9"/>
  <c r="F317" i="9"/>
  <c r="E317" i="9"/>
  <c r="V531" i="6" s="1"/>
  <c r="F531" i="6" s="1"/>
  <c r="F530" i="6" s="1"/>
  <c r="D317" i="9"/>
  <c r="C317" i="9"/>
  <c r="G316" i="9"/>
  <c r="F316" i="9"/>
  <c r="E316" i="9"/>
  <c r="V526" i="6" s="1"/>
  <c r="F526" i="6" s="1"/>
  <c r="D316" i="9"/>
  <c r="C316" i="9"/>
  <c r="G314" i="9"/>
  <c r="F314" i="9"/>
  <c r="E314" i="9"/>
  <c r="D314" i="9"/>
  <c r="C314" i="9"/>
  <c r="G313" i="9"/>
  <c r="F313" i="9"/>
  <c r="F315" i="9" s="1"/>
  <c r="E313" i="9"/>
  <c r="E315" i="9" s="1"/>
  <c r="D313" i="9"/>
  <c r="C313" i="9"/>
  <c r="G311" i="9"/>
  <c r="F311" i="9"/>
  <c r="F312" i="9" s="1"/>
  <c r="E311" i="9"/>
  <c r="E312" i="9" s="1"/>
  <c r="D311" i="9"/>
  <c r="C311" i="9"/>
  <c r="F310" i="9"/>
  <c r="G309" i="9"/>
  <c r="F309" i="9"/>
  <c r="E309" i="9"/>
  <c r="E310" i="9" s="1"/>
  <c r="D309" i="9"/>
  <c r="C309" i="9"/>
  <c r="G307" i="9"/>
  <c r="F307" i="9"/>
  <c r="E307" i="9"/>
  <c r="D307" i="9"/>
  <c r="C307" i="9"/>
  <c r="G306" i="9"/>
  <c r="F306" i="9"/>
  <c r="F308" i="9" s="1"/>
  <c r="E306" i="9"/>
  <c r="D306" i="9"/>
  <c r="C306" i="9"/>
  <c r="G304" i="9"/>
  <c r="F304" i="9"/>
  <c r="E304" i="9"/>
  <c r="D304" i="9"/>
  <c r="C304" i="9"/>
  <c r="G303" i="9"/>
  <c r="F303" i="9"/>
  <c r="E303" i="9"/>
  <c r="D303" i="9"/>
  <c r="C303" i="9"/>
  <c r="G302" i="9"/>
  <c r="F302" i="9"/>
  <c r="E302" i="9"/>
  <c r="D302" i="9"/>
  <c r="C302" i="9"/>
  <c r="G301" i="9"/>
  <c r="F301" i="9"/>
  <c r="E301" i="9"/>
  <c r="D301" i="9"/>
  <c r="C301" i="9"/>
  <c r="G300" i="9"/>
  <c r="F300" i="9"/>
  <c r="E300" i="9"/>
  <c r="D300" i="9"/>
  <c r="C300" i="9"/>
  <c r="G299" i="9"/>
  <c r="F299" i="9"/>
  <c r="E299" i="9"/>
  <c r="D299" i="9"/>
  <c r="C299" i="9"/>
  <c r="G298" i="9"/>
  <c r="F298" i="9"/>
  <c r="E298" i="9"/>
  <c r="V499" i="6" s="1"/>
  <c r="F499" i="6" s="1"/>
  <c r="F498" i="6" s="1"/>
  <c r="D298" i="9"/>
  <c r="C298" i="9"/>
  <c r="G297" i="9"/>
  <c r="F297" i="9"/>
  <c r="E297" i="9"/>
  <c r="D297" i="9"/>
  <c r="C297" i="9"/>
  <c r="G295" i="9"/>
  <c r="F295" i="9"/>
  <c r="E295" i="9"/>
  <c r="D295" i="9"/>
  <c r="C295" i="9"/>
  <c r="G294" i="9"/>
  <c r="F294" i="9"/>
  <c r="E294" i="9"/>
  <c r="D294" i="9"/>
  <c r="C294" i="9"/>
  <c r="G293" i="9"/>
  <c r="F293" i="9"/>
  <c r="E293" i="9"/>
  <c r="D293" i="9"/>
  <c r="C293" i="9"/>
  <c r="G292" i="9"/>
  <c r="F292" i="9"/>
  <c r="E292" i="9"/>
  <c r="E296" i="9" s="1"/>
  <c r="D292" i="9"/>
  <c r="C292" i="9"/>
  <c r="G291" i="9"/>
  <c r="F291" i="9"/>
  <c r="E291" i="9"/>
  <c r="D291" i="9"/>
  <c r="C291" i="9"/>
  <c r="F289" i="9"/>
  <c r="E289" i="9"/>
  <c r="D289" i="9"/>
  <c r="C289" i="9"/>
  <c r="G288" i="9"/>
  <c r="F288" i="9"/>
  <c r="E288" i="9"/>
  <c r="D288" i="9"/>
  <c r="C288" i="9"/>
  <c r="G287" i="9"/>
  <c r="F287" i="9"/>
  <c r="E287" i="9"/>
  <c r="D287" i="9"/>
  <c r="C287" i="9"/>
  <c r="G286" i="9"/>
  <c r="F286" i="9"/>
  <c r="E286" i="9"/>
  <c r="D286" i="9"/>
  <c r="C286" i="9"/>
  <c r="G285" i="9"/>
  <c r="F285" i="9"/>
  <c r="E285" i="9"/>
  <c r="D285" i="9"/>
  <c r="C285" i="9"/>
  <c r="G284" i="9"/>
  <c r="F284" i="9"/>
  <c r="E284" i="9"/>
  <c r="D284" i="9"/>
  <c r="C284" i="9"/>
  <c r="G283" i="9"/>
  <c r="F283" i="9"/>
  <c r="E283" i="9"/>
  <c r="D283" i="9"/>
  <c r="C283" i="9"/>
  <c r="F282" i="9"/>
  <c r="E282" i="9"/>
  <c r="D282" i="9"/>
  <c r="C282" i="9"/>
  <c r="F281" i="9"/>
  <c r="E281" i="9"/>
  <c r="D281" i="9"/>
  <c r="C281" i="9"/>
  <c r="G280" i="9"/>
  <c r="F280" i="9"/>
  <c r="E280" i="9"/>
  <c r="D280" i="9"/>
  <c r="C280" i="9"/>
  <c r="F279" i="9"/>
  <c r="E279" i="9"/>
  <c r="D279" i="9"/>
  <c r="C279" i="9"/>
  <c r="F278" i="9"/>
  <c r="E278" i="9"/>
  <c r="D278" i="9"/>
  <c r="C278" i="9"/>
  <c r="F277" i="9"/>
  <c r="E277" i="9"/>
  <c r="D277" i="9"/>
  <c r="C277" i="9"/>
  <c r="F276" i="9"/>
  <c r="E276" i="9"/>
  <c r="D276" i="9"/>
  <c r="C276" i="9"/>
  <c r="F275" i="9"/>
  <c r="E275" i="9"/>
  <c r="D275" i="9"/>
  <c r="C275" i="9"/>
  <c r="F274" i="9"/>
  <c r="E274" i="9"/>
  <c r="V483" i="6" s="1"/>
  <c r="F483" i="6" s="1"/>
  <c r="D274" i="9"/>
  <c r="C274" i="9"/>
  <c r="G273" i="9"/>
  <c r="F273" i="9"/>
  <c r="E273" i="9"/>
  <c r="D273" i="9"/>
  <c r="C273" i="9"/>
  <c r="G272" i="9"/>
  <c r="F272" i="9"/>
  <c r="E272" i="9"/>
  <c r="D272" i="9"/>
  <c r="C272" i="9"/>
  <c r="G271" i="9"/>
  <c r="F271" i="9"/>
  <c r="E271" i="9"/>
  <c r="V482" i="6" s="1"/>
  <c r="F482" i="6" s="1"/>
  <c r="D271" i="9"/>
  <c r="C271" i="9"/>
  <c r="F269" i="9"/>
  <c r="E269" i="9"/>
  <c r="D269" i="9"/>
  <c r="C269" i="9"/>
  <c r="F268" i="9"/>
  <c r="E268" i="9"/>
  <c r="D268" i="9"/>
  <c r="C268" i="9"/>
  <c r="G267" i="9"/>
  <c r="F267" i="9"/>
  <c r="E267" i="9"/>
  <c r="D267" i="9"/>
  <c r="C267" i="9"/>
  <c r="G266" i="9"/>
  <c r="F266" i="9"/>
  <c r="E266" i="9"/>
  <c r="D266" i="9"/>
  <c r="C266" i="9"/>
  <c r="G265" i="9"/>
  <c r="F265" i="9"/>
  <c r="E265" i="9"/>
  <c r="D265" i="9"/>
  <c r="C265" i="9"/>
  <c r="G264" i="9"/>
  <c r="F264" i="9"/>
  <c r="E264" i="9"/>
  <c r="D264" i="9"/>
  <c r="C264" i="9"/>
  <c r="G263" i="9"/>
  <c r="F263" i="9"/>
  <c r="E263" i="9"/>
  <c r="V478" i="6" s="1"/>
  <c r="F478" i="6" s="1"/>
  <c r="D263" i="9"/>
  <c r="C263" i="9"/>
  <c r="G262" i="9"/>
  <c r="F262" i="9"/>
  <c r="E262" i="9"/>
  <c r="V480" i="6" s="1"/>
  <c r="F480" i="6" s="1"/>
  <c r="D262" i="9"/>
  <c r="C262" i="9"/>
  <c r="G261" i="9"/>
  <c r="F261" i="9"/>
  <c r="E261" i="9"/>
  <c r="D261" i="9"/>
  <c r="C261" i="9"/>
  <c r="G260" i="9"/>
  <c r="F260" i="9"/>
  <c r="E260" i="9"/>
  <c r="D260" i="9"/>
  <c r="C260" i="9"/>
  <c r="G258" i="9"/>
  <c r="F258" i="9"/>
  <c r="E258" i="9"/>
  <c r="D258" i="9"/>
  <c r="C258" i="9"/>
  <c r="G257" i="9"/>
  <c r="F257" i="9"/>
  <c r="E257" i="9"/>
  <c r="D257" i="9"/>
  <c r="C257" i="9"/>
  <c r="G255" i="9"/>
  <c r="F255" i="9"/>
  <c r="E255" i="9"/>
  <c r="D255" i="9"/>
  <c r="C255" i="9"/>
  <c r="G254" i="9"/>
  <c r="F254" i="9"/>
  <c r="F256" i="9" s="1"/>
  <c r="E254" i="9"/>
  <c r="E256" i="9" s="1"/>
  <c r="D254" i="9"/>
  <c r="C254" i="9"/>
  <c r="G252" i="9"/>
  <c r="F252" i="9"/>
  <c r="E252" i="9"/>
  <c r="D252" i="9"/>
  <c r="C252" i="9"/>
  <c r="G251" i="9"/>
  <c r="F251" i="9"/>
  <c r="E251" i="9"/>
  <c r="D251" i="9"/>
  <c r="C251" i="9"/>
  <c r="G250" i="9"/>
  <c r="F250" i="9"/>
  <c r="E250" i="9"/>
  <c r="D250" i="9"/>
  <c r="C250" i="9"/>
  <c r="G249" i="9"/>
  <c r="F249" i="9"/>
  <c r="E249" i="9"/>
  <c r="D249" i="9"/>
  <c r="C249" i="9"/>
  <c r="G248" i="9"/>
  <c r="F248" i="9"/>
  <c r="E248" i="9"/>
  <c r="D248" i="9"/>
  <c r="C248" i="9"/>
  <c r="G247" i="9"/>
  <c r="F247" i="9"/>
  <c r="E247" i="9"/>
  <c r="D247" i="9"/>
  <c r="C247" i="9"/>
  <c r="G246" i="9"/>
  <c r="F246" i="9"/>
  <c r="E246" i="9"/>
  <c r="D246" i="9"/>
  <c r="C246" i="9"/>
  <c r="G245" i="9"/>
  <c r="F245" i="9"/>
  <c r="E245" i="9"/>
  <c r="D245" i="9"/>
  <c r="C245" i="9"/>
  <c r="G244" i="9"/>
  <c r="F244" i="9"/>
  <c r="E244" i="9"/>
  <c r="D244" i="9"/>
  <c r="C244" i="9"/>
  <c r="G243" i="9"/>
  <c r="F243" i="9"/>
  <c r="E243" i="9"/>
  <c r="D243" i="9"/>
  <c r="C243" i="9"/>
  <c r="G242" i="9"/>
  <c r="F242" i="9"/>
  <c r="E242" i="9"/>
  <c r="V468" i="6" s="1"/>
  <c r="F468" i="6" s="1"/>
  <c r="D242" i="9"/>
  <c r="C242" i="9"/>
  <c r="F241" i="9"/>
  <c r="E241" i="9"/>
  <c r="D241" i="9"/>
  <c r="C241" i="9"/>
  <c r="A241" i="9"/>
  <c r="F240" i="9"/>
  <c r="E240" i="9"/>
  <c r="D240" i="9"/>
  <c r="C240" i="9"/>
  <c r="A240" i="9"/>
  <c r="G239" i="9"/>
  <c r="F239" i="9"/>
  <c r="E239" i="9"/>
  <c r="D239" i="9"/>
  <c r="C239" i="9"/>
  <c r="A239" i="9"/>
  <c r="F238" i="9"/>
  <c r="E238" i="9"/>
  <c r="D238" i="9"/>
  <c r="C238" i="9"/>
  <c r="A238" i="9"/>
  <c r="G237" i="9"/>
  <c r="F237" i="9"/>
  <c r="E237" i="9"/>
  <c r="V467" i="6" s="1"/>
  <c r="F467" i="6" s="1"/>
  <c r="D237" i="9"/>
  <c r="C237" i="9"/>
  <c r="A237" i="9"/>
  <c r="G236" i="9"/>
  <c r="F236" i="9"/>
  <c r="E236" i="9"/>
  <c r="D236" i="9"/>
  <c r="C236" i="9"/>
  <c r="G235" i="9"/>
  <c r="F235" i="9"/>
  <c r="E235" i="9"/>
  <c r="D235" i="9"/>
  <c r="C235" i="9"/>
  <c r="G234" i="9"/>
  <c r="F234" i="9"/>
  <c r="E234" i="9"/>
  <c r="D234" i="9"/>
  <c r="C234" i="9"/>
  <c r="G233" i="9"/>
  <c r="F233" i="9"/>
  <c r="E233" i="9"/>
  <c r="D233" i="9"/>
  <c r="C233" i="9"/>
  <c r="G232" i="9"/>
  <c r="F232" i="9"/>
  <c r="E232" i="9"/>
  <c r="V465" i="6" s="1"/>
  <c r="F465" i="6" s="1"/>
  <c r="D232" i="9"/>
  <c r="C232" i="9"/>
  <c r="G231" i="9"/>
  <c r="F231" i="9"/>
  <c r="E231" i="9"/>
  <c r="D231" i="9"/>
  <c r="C231" i="9"/>
  <c r="G230" i="9"/>
  <c r="F230" i="9"/>
  <c r="E230" i="9"/>
  <c r="D230" i="9"/>
  <c r="C230" i="9"/>
  <c r="G229" i="9"/>
  <c r="F229" i="9"/>
  <c r="E229" i="9"/>
  <c r="D229" i="9"/>
  <c r="C229" i="9"/>
  <c r="G228" i="9"/>
  <c r="F228" i="9"/>
  <c r="E228" i="9"/>
  <c r="D228" i="9"/>
  <c r="C228" i="9"/>
  <c r="G227" i="9"/>
  <c r="F227" i="9"/>
  <c r="E227" i="9"/>
  <c r="D227" i="9"/>
  <c r="C227" i="9"/>
  <c r="G226" i="9"/>
  <c r="F226" i="9"/>
  <c r="E226" i="9"/>
  <c r="D226" i="9"/>
  <c r="C226" i="9"/>
  <c r="G225" i="9"/>
  <c r="F225" i="9"/>
  <c r="E225" i="9"/>
  <c r="D225" i="9"/>
  <c r="C225" i="9"/>
  <c r="G224" i="9"/>
  <c r="F224" i="9"/>
  <c r="E224" i="9"/>
  <c r="V464" i="6" s="1"/>
  <c r="F464" i="6" s="1"/>
  <c r="D224" i="9"/>
  <c r="C224" i="9"/>
  <c r="G223" i="9"/>
  <c r="F223" i="9"/>
  <c r="E223" i="9"/>
  <c r="D223" i="9"/>
  <c r="C223" i="9"/>
  <c r="G222" i="9"/>
  <c r="F222" i="9"/>
  <c r="E222" i="9"/>
  <c r="D222" i="9"/>
  <c r="C222" i="9"/>
  <c r="G221" i="9"/>
  <c r="F221" i="9"/>
  <c r="E221" i="9"/>
  <c r="D221" i="9"/>
  <c r="C221" i="9"/>
  <c r="G220" i="9"/>
  <c r="F220" i="9"/>
  <c r="E220" i="9"/>
  <c r="D220" i="9"/>
  <c r="C220" i="9"/>
  <c r="G219" i="9"/>
  <c r="F219" i="9"/>
  <c r="E219" i="9"/>
  <c r="D219" i="9"/>
  <c r="C219" i="9"/>
  <c r="G218" i="9"/>
  <c r="F218" i="9"/>
  <c r="E218" i="9"/>
  <c r="D218" i="9"/>
  <c r="C218" i="9"/>
  <c r="G217" i="9"/>
  <c r="F217" i="9"/>
  <c r="E217" i="9"/>
  <c r="D217" i="9"/>
  <c r="C217" i="9"/>
  <c r="G216" i="9"/>
  <c r="F216" i="9"/>
  <c r="E216" i="9"/>
  <c r="D216" i="9"/>
  <c r="C216" i="9"/>
  <c r="G215" i="9"/>
  <c r="F215" i="9"/>
  <c r="E215" i="9"/>
  <c r="D215" i="9"/>
  <c r="C215" i="9"/>
  <c r="G214" i="9"/>
  <c r="F214" i="9"/>
  <c r="E214" i="9"/>
  <c r="D214" i="9"/>
  <c r="C214" i="9"/>
  <c r="G213" i="9"/>
  <c r="F213" i="9"/>
  <c r="E213" i="9"/>
  <c r="D213" i="9"/>
  <c r="C213" i="9"/>
  <c r="G212" i="9"/>
  <c r="F212" i="9"/>
  <c r="E212" i="9"/>
  <c r="D212" i="9"/>
  <c r="C212" i="9"/>
  <c r="G210" i="9"/>
  <c r="F210" i="9"/>
  <c r="E210" i="9"/>
  <c r="D210" i="9"/>
  <c r="C210" i="9"/>
  <c r="G209" i="9"/>
  <c r="F209" i="9"/>
  <c r="E209" i="9"/>
  <c r="D209" i="9"/>
  <c r="C209" i="9"/>
  <c r="G208" i="9"/>
  <c r="F208" i="9"/>
  <c r="E208" i="9"/>
  <c r="V456" i="6" s="1"/>
  <c r="F456" i="6" s="1"/>
  <c r="F455" i="6" s="1"/>
  <c r="D208" i="9"/>
  <c r="C208" i="9"/>
  <c r="G207" i="9"/>
  <c r="F207" i="9"/>
  <c r="E207" i="9"/>
  <c r="D207" i="9"/>
  <c r="C207" i="9"/>
  <c r="G206" i="9"/>
  <c r="F206" i="9"/>
  <c r="E206" i="9"/>
  <c r="D206" i="9"/>
  <c r="C206" i="9"/>
  <c r="G205" i="9"/>
  <c r="F205" i="9"/>
  <c r="E205" i="9"/>
  <c r="D205" i="9"/>
  <c r="C205" i="9"/>
  <c r="G204" i="9"/>
  <c r="F204" i="9"/>
  <c r="E204" i="9"/>
  <c r="D204" i="9"/>
  <c r="C204" i="9"/>
  <c r="G203" i="9"/>
  <c r="F203" i="9"/>
  <c r="E203" i="9"/>
  <c r="V348" i="6" s="1"/>
  <c r="F348" i="6" s="1"/>
  <c r="D203" i="9"/>
  <c r="C203" i="9"/>
  <c r="G202" i="9"/>
  <c r="F202" i="9"/>
  <c r="E202" i="9"/>
  <c r="D202" i="9"/>
  <c r="C202" i="9"/>
  <c r="G201" i="9"/>
  <c r="F201" i="9"/>
  <c r="E201" i="9"/>
  <c r="D201" i="9"/>
  <c r="C201" i="9"/>
  <c r="G200" i="9"/>
  <c r="F200" i="9"/>
  <c r="E200" i="9"/>
  <c r="D200" i="9"/>
  <c r="C200" i="9"/>
  <c r="G199" i="9"/>
  <c r="F199" i="9"/>
  <c r="E199" i="9"/>
  <c r="V454" i="6" s="1"/>
  <c r="F454" i="6" s="1"/>
  <c r="D199" i="9"/>
  <c r="C199" i="9"/>
  <c r="G198" i="9"/>
  <c r="F198" i="9"/>
  <c r="E198" i="9"/>
  <c r="D198" i="9"/>
  <c r="C198" i="9"/>
  <c r="G197" i="9"/>
  <c r="F197" i="9"/>
  <c r="E197" i="9"/>
  <c r="D197" i="9"/>
  <c r="C197" i="9"/>
  <c r="G196" i="9"/>
  <c r="F196" i="9"/>
  <c r="E196" i="9"/>
  <c r="D196" i="9"/>
  <c r="C196" i="9"/>
  <c r="G195" i="9"/>
  <c r="F195" i="9"/>
  <c r="E195" i="9"/>
  <c r="D195" i="9"/>
  <c r="C195" i="9"/>
  <c r="G194" i="9"/>
  <c r="F194" i="9"/>
  <c r="E194" i="9"/>
  <c r="D194" i="9"/>
  <c r="C194" i="9"/>
  <c r="G193" i="9"/>
  <c r="F193" i="9"/>
  <c r="E193" i="9"/>
  <c r="D193" i="9"/>
  <c r="C193" i="9"/>
  <c r="G192" i="9"/>
  <c r="F192" i="9"/>
  <c r="E192" i="9"/>
  <c r="D192" i="9"/>
  <c r="C192" i="9"/>
  <c r="G191" i="9"/>
  <c r="F191" i="9"/>
  <c r="E191" i="9"/>
  <c r="D191" i="9"/>
  <c r="C191" i="9"/>
  <c r="G190" i="9"/>
  <c r="F190" i="9"/>
  <c r="E190" i="9"/>
  <c r="D190" i="9"/>
  <c r="C190" i="9"/>
  <c r="G189" i="9"/>
  <c r="F189" i="9"/>
  <c r="E189" i="9"/>
  <c r="D189" i="9"/>
  <c r="C189" i="9"/>
  <c r="G188" i="9"/>
  <c r="F188" i="9"/>
  <c r="E188" i="9"/>
  <c r="D188" i="9"/>
  <c r="C188" i="9"/>
  <c r="G187" i="9"/>
  <c r="F187" i="9"/>
  <c r="E187" i="9"/>
  <c r="D187" i="9"/>
  <c r="C187" i="9"/>
  <c r="G186" i="9"/>
  <c r="F186" i="9"/>
  <c r="E186" i="9"/>
  <c r="D186" i="9"/>
  <c r="C186" i="9"/>
  <c r="G185" i="9"/>
  <c r="F185" i="9"/>
  <c r="E185" i="9"/>
  <c r="D185" i="9"/>
  <c r="C185" i="9"/>
  <c r="G184" i="9"/>
  <c r="F184" i="9"/>
  <c r="E184" i="9"/>
  <c r="V350" i="6" s="1"/>
  <c r="F350" i="6" s="1"/>
  <c r="D184" i="9"/>
  <c r="C184" i="9"/>
  <c r="G183" i="9"/>
  <c r="F183" i="9"/>
  <c r="E183" i="9"/>
  <c r="D183" i="9"/>
  <c r="C183" i="9"/>
  <c r="G182" i="9"/>
  <c r="F182" i="9"/>
  <c r="E182" i="9"/>
  <c r="D182" i="9"/>
  <c r="C182" i="9"/>
  <c r="G181" i="9"/>
  <c r="F181" i="9"/>
  <c r="E181" i="9"/>
  <c r="D181" i="9"/>
  <c r="G180" i="9"/>
  <c r="F180" i="9"/>
  <c r="E180" i="9"/>
  <c r="V453" i="6" s="1"/>
  <c r="F453" i="6" s="1"/>
  <c r="D180" i="9"/>
  <c r="C180" i="9"/>
  <c r="G179" i="9"/>
  <c r="F179" i="9"/>
  <c r="E179" i="9"/>
  <c r="D179" i="9"/>
  <c r="C179" i="9"/>
  <c r="G177" i="9"/>
  <c r="F177" i="9"/>
  <c r="E177" i="9"/>
  <c r="D177" i="9"/>
  <c r="C177" i="9"/>
  <c r="G176" i="9"/>
  <c r="F176" i="9"/>
  <c r="E176" i="9"/>
  <c r="D176" i="9"/>
  <c r="C176" i="9"/>
  <c r="G175" i="9"/>
  <c r="F175" i="9"/>
  <c r="F178" i="9" s="1"/>
  <c r="E175" i="9"/>
  <c r="D175" i="9"/>
  <c r="C175" i="9"/>
  <c r="G173" i="9"/>
  <c r="F173" i="9"/>
  <c r="E173" i="9"/>
  <c r="V440" i="6" s="1"/>
  <c r="F440" i="6" s="1"/>
  <c r="D173" i="9"/>
  <c r="C173" i="9"/>
  <c r="G172" i="9"/>
  <c r="F172" i="9"/>
  <c r="E172" i="9"/>
  <c r="E174" i="9" s="1"/>
  <c r="D172" i="9"/>
  <c r="C172" i="9"/>
  <c r="G170" i="9"/>
  <c r="F170" i="9"/>
  <c r="F171" i="9" s="1"/>
  <c r="E170" i="9"/>
  <c r="E171" i="9" s="1"/>
  <c r="D170" i="9"/>
  <c r="C170" i="9"/>
  <c r="G168" i="9"/>
  <c r="F168" i="9"/>
  <c r="E168" i="9"/>
  <c r="D168" i="9"/>
  <c r="C168" i="9"/>
  <c r="G167" i="9"/>
  <c r="F167" i="9"/>
  <c r="E167" i="9"/>
  <c r="V423" i="6" s="1"/>
  <c r="F423" i="6" s="1"/>
  <c r="D167" i="9"/>
  <c r="C167" i="9"/>
  <c r="G166" i="9"/>
  <c r="F166" i="9"/>
  <c r="E166" i="9"/>
  <c r="D166" i="9"/>
  <c r="C166" i="9"/>
  <c r="G165" i="9"/>
  <c r="F165" i="9"/>
  <c r="E165" i="9"/>
  <c r="E169" i="9" s="1"/>
  <c r="D165" i="9"/>
  <c r="C165" i="9"/>
  <c r="F164" i="9"/>
  <c r="G163" i="9"/>
  <c r="F163" i="9"/>
  <c r="E163" i="9"/>
  <c r="V417" i="6" s="1"/>
  <c r="D163" i="9"/>
  <c r="C163" i="9"/>
  <c r="E162" i="9"/>
  <c r="G161" i="9"/>
  <c r="F161" i="9"/>
  <c r="F162" i="9" s="1"/>
  <c r="E161" i="9"/>
  <c r="D161" i="9"/>
  <c r="C161" i="9"/>
  <c r="G159" i="9"/>
  <c r="F159" i="9"/>
  <c r="E159" i="9"/>
  <c r="D159" i="9"/>
  <c r="C159" i="9"/>
  <c r="G158" i="9"/>
  <c r="F158" i="9"/>
  <c r="F160" i="9" s="1"/>
  <c r="E158" i="9"/>
  <c r="E160" i="9" s="1"/>
  <c r="D158" i="9"/>
  <c r="C158" i="9"/>
  <c r="G156" i="9"/>
  <c r="F156" i="9"/>
  <c r="E156" i="9"/>
  <c r="D156" i="9"/>
  <c r="C156" i="9"/>
  <c r="G155" i="9"/>
  <c r="F155" i="9"/>
  <c r="F157" i="9" s="1"/>
  <c r="E155" i="9"/>
  <c r="D155" i="9"/>
  <c r="C155" i="9"/>
  <c r="G153" i="9"/>
  <c r="F153" i="9"/>
  <c r="E153" i="9"/>
  <c r="V398" i="6" s="1"/>
  <c r="F398" i="6" s="1"/>
  <c r="D153" i="9"/>
  <c r="C153" i="9"/>
  <c r="G152" i="9"/>
  <c r="F152" i="9"/>
  <c r="E152" i="9"/>
  <c r="V397" i="6" s="1"/>
  <c r="F397" i="6" s="1"/>
  <c r="D152" i="9"/>
  <c r="C152" i="9"/>
  <c r="G151" i="9"/>
  <c r="F151" i="9"/>
  <c r="F154" i="9" s="1"/>
  <c r="E151" i="9"/>
  <c r="E154" i="9" s="1"/>
  <c r="D151" i="9"/>
  <c r="C151" i="9"/>
  <c r="G149" i="9"/>
  <c r="F149" i="9"/>
  <c r="E149" i="9"/>
  <c r="D149" i="9"/>
  <c r="C149" i="9"/>
  <c r="G148" i="9"/>
  <c r="F148" i="9"/>
  <c r="E148" i="9"/>
  <c r="E150" i="9" s="1"/>
  <c r="D148" i="9"/>
  <c r="C148" i="9"/>
  <c r="G146" i="9"/>
  <c r="F146" i="9"/>
  <c r="E146" i="9"/>
  <c r="D146" i="9"/>
  <c r="C146" i="9"/>
  <c r="G145" i="9"/>
  <c r="F145" i="9"/>
  <c r="F147" i="9" s="1"/>
  <c r="E145" i="9"/>
  <c r="D145" i="9"/>
  <c r="C145" i="9"/>
  <c r="G143" i="9"/>
  <c r="F143" i="9"/>
  <c r="E143" i="9"/>
  <c r="V366" i="6" s="1"/>
  <c r="F366" i="6" s="1"/>
  <c r="D143" i="9"/>
  <c r="C143" i="9"/>
  <c r="G142" i="9"/>
  <c r="F142" i="9"/>
  <c r="E142" i="9"/>
  <c r="D142" i="9"/>
  <c r="C142" i="9"/>
  <c r="G141" i="9"/>
  <c r="F141" i="9"/>
  <c r="E141" i="9"/>
  <c r="V364" i="6" s="1"/>
  <c r="F364" i="6" s="1"/>
  <c r="D141" i="9"/>
  <c r="C141" i="9"/>
  <c r="F140" i="9"/>
  <c r="E140" i="9"/>
  <c r="G139" i="9"/>
  <c r="F139" i="9"/>
  <c r="E139" i="9"/>
  <c r="D139" i="9"/>
  <c r="C139" i="9"/>
  <c r="G137" i="9"/>
  <c r="F137" i="9"/>
  <c r="F138" i="9" s="1"/>
  <c r="E137" i="9"/>
  <c r="V344" i="6" s="1"/>
  <c r="F344" i="6" s="1"/>
  <c r="D137" i="9"/>
  <c r="C137" i="9"/>
  <c r="G135" i="9"/>
  <c r="F135" i="9"/>
  <c r="E135" i="9"/>
  <c r="V342" i="6" s="1"/>
  <c r="F342" i="6" s="1"/>
  <c r="D135" i="9"/>
  <c r="C135" i="9"/>
  <c r="G134" i="9"/>
  <c r="F134" i="9"/>
  <c r="E134" i="9"/>
  <c r="V341" i="6" s="1"/>
  <c r="F341" i="6" s="1"/>
  <c r="D134" i="9"/>
  <c r="C134" i="9"/>
  <c r="G133" i="9"/>
  <c r="F133" i="9"/>
  <c r="E133" i="9"/>
  <c r="V340" i="6" s="1"/>
  <c r="F340" i="6" s="1"/>
  <c r="D133" i="9"/>
  <c r="C133" i="9"/>
  <c r="G132" i="9"/>
  <c r="F132" i="9"/>
  <c r="F136" i="9" s="1"/>
  <c r="E132" i="9"/>
  <c r="V339" i="6" s="1"/>
  <c r="F339" i="6" s="1"/>
  <c r="D132" i="9"/>
  <c r="C132" i="9"/>
  <c r="F131" i="9"/>
  <c r="G130" i="9"/>
  <c r="F130" i="9"/>
  <c r="E130" i="9"/>
  <c r="E131" i="9" s="1"/>
  <c r="D130" i="9"/>
  <c r="C130" i="9"/>
  <c r="G128" i="9"/>
  <c r="F128" i="9"/>
  <c r="F129" i="9" s="1"/>
  <c r="E128" i="9"/>
  <c r="V304" i="6" s="1"/>
  <c r="F304" i="6" s="1"/>
  <c r="D128" i="9"/>
  <c r="C128" i="9"/>
  <c r="F127" i="9"/>
  <c r="G126" i="9"/>
  <c r="F126" i="9"/>
  <c r="E126" i="9"/>
  <c r="E127" i="9" s="1"/>
  <c r="D126" i="9"/>
  <c r="C126" i="9"/>
  <c r="E125" i="9"/>
  <c r="G124" i="9"/>
  <c r="F124" i="9"/>
  <c r="F125" i="9" s="1"/>
  <c r="E124" i="9"/>
  <c r="V271" i="6" s="1"/>
  <c r="F271" i="6" s="1"/>
  <c r="D124" i="9"/>
  <c r="C124" i="9"/>
  <c r="F123" i="9"/>
  <c r="G122" i="9"/>
  <c r="F122" i="9"/>
  <c r="E122" i="9"/>
  <c r="E123" i="9" s="1"/>
  <c r="D122" i="9"/>
  <c r="C122" i="9"/>
  <c r="G120" i="9"/>
  <c r="F120" i="9"/>
  <c r="E120" i="9"/>
  <c r="V254" i="6" s="1"/>
  <c r="F254" i="6" s="1"/>
  <c r="D120" i="9"/>
  <c r="C120" i="9"/>
  <c r="G119" i="9"/>
  <c r="F119" i="9"/>
  <c r="E119" i="9"/>
  <c r="E121" i="9" s="1"/>
  <c r="D119" i="9"/>
  <c r="C119" i="9"/>
  <c r="G117" i="9"/>
  <c r="F117" i="9"/>
  <c r="E117" i="9"/>
  <c r="V237" i="6" s="1"/>
  <c r="F237" i="6" s="1"/>
  <c r="F236" i="6" s="1"/>
  <c r="D117" i="9"/>
  <c r="C117" i="9"/>
  <c r="G116" i="9"/>
  <c r="F116" i="9"/>
  <c r="E116" i="9"/>
  <c r="D116" i="9"/>
  <c r="C116" i="9"/>
  <c r="G115" i="9"/>
  <c r="F115" i="9"/>
  <c r="E115" i="9"/>
  <c r="D115" i="9"/>
  <c r="C115" i="9"/>
  <c r="G113" i="9"/>
  <c r="F113" i="9"/>
  <c r="F114" i="9" s="1"/>
  <c r="E113" i="9"/>
  <c r="E114" i="9" s="1"/>
  <c r="D113" i="9"/>
  <c r="C113" i="9"/>
  <c r="G111" i="9"/>
  <c r="F111" i="9"/>
  <c r="E111" i="9"/>
  <c r="D111" i="9"/>
  <c r="C111" i="9"/>
  <c r="G110" i="9"/>
  <c r="F110" i="9"/>
  <c r="E110" i="9"/>
  <c r="D110" i="9"/>
  <c r="C110" i="9"/>
  <c r="G109" i="9"/>
  <c r="F109" i="9"/>
  <c r="E109" i="9"/>
  <c r="D109" i="9"/>
  <c r="C109" i="9"/>
  <c r="G108" i="9"/>
  <c r="F108" i="9"/>
  <c r="E108" i="9"/>
  <c r="D108" i="9"/>
  <c r="C108" i="9"/>
  <c r="G107" i="9"/>
  <c r="F107" i="9"/>
  <c r="E107" i="9"/>
  <c r="D107" i="9"/>
  <c r="C107" i="9"/>
  <c r="G106" i="9"/>
  <c r="F106" i="9"/>
  <c r="E106" i="9"/>
  <c r="D106" i="9"/>
  <c r="C106" i="9"/>
  <c r="G105" i="9"/>
  <c r="F105" i="9"/>
  <c r="E105" i="9"/>
  <c r="D105" i="9"/>
  <c r="C105" i="9"/>
  <c r="G104" i="9"/>
  <c r="F104" i="9"/>
  <c r="E104" i="9"/>
  <c r="D104" i="9"/>
  <c r="C104" i="9"/>
  <c r="G103" i="9"/>
  <c r="F103" i="9"/>
  <c r="E103" i="9"/>
  <c r="D103" i="9"/>
  <c r="C103" i="9"/>
  <c r="G102" i="9"/>
  <c r="F102" i="9"/>
  <c r="E102" i="9"/>
  <c r="D102" i="9"/>
  <c r="C102" i="9"/>
  <c r="G101" i="9"/>
  <c r="F101" i="9"/>
  <c r="E101" i="9"/>
  <c r="D101" i="9"/>
  <c r="C101" i="9"/>
  <c r="G100" i="9"/>
  <c r="F100" i="9"/>
  <c r="E100" i="9"/>
  <c r="D100" i="9"/>
  <c r="C100" i="9"/>
  <c r="G99" i="9"/>
  <c r="F99" i="9"/>
  <c r="E99" i="9"/>
  <c r="D99" i="9"/>
  <c r="C99" i="9"/>
  <c r="G98" i="9"/>
  <c r="F98" i="9"/>
  <c r="E98" i="9"/>
  <c r="D98" i="9"/>
  <c r="C98" i="9"/>
  <c r="G97" i="9"/>
  <c r="F97" i="9"/>
  <c r="E97" i="9"/>
  <c r="D97" i="9"/>
  <c r="C97" i="9"/>
  <c r="G96" i="9"/>
  <c r="F96" i="9"/>
  <c r="E96" i="9"/>
  <c r="D96" i="9"/>
  <c r="C96" i="9"/>
  <c r="G95" i="9"/>
  <c r="F95" i="9"/>
  <c r="E95" i="9"/>
  <c r="D95" i="9"/>
  <c r="C95" i="9"/>
  <c r="G94" i="9"/>
  <c r="F94" i="9"/>
  <c r="E94" i="9"/>
  <c r="D94" i="9"/>
  <c r="C94" i="9"/>
  <c r="G93" i="9"/>
  <c r="F93" i="9"/>
  <c r="E93" i="9"/>
  <c r="D93" i="9"/>
  <c r="C93" i="9"/>
  <c r="G92" i="9"/>
  <c r="F92" i="9"/>
  <c r="E92" i="9"/>
  <c r="D92" i="9"/>
  <c r="C92" i="9"/>
  <c r="G91" i="9"/>
  <c r="F91" i="9"/>
  <c r="E91" i="9"/>
  <c r="D91" i="9"/>
  <c r="C91" i="9"/>
  <c r="G90" i="9"/>
  <c r="F90" i="9"/>
  <c r="E90" i="9"/>
  <c r="D90" i="9"/>
  <c r="C90" i="9"/>
  <c r="G89" i="9"/>
  <c r="F89" i="9"/>
  <c r="E89" i="9"/>
  <c r="D89" i="9"/>
  <c r="C89" i="9"/>
  <c r="G87" i="9"/>
  <c r="F87" i="9"/>
  <c r="E87" i="9"/>
  <c r="D87" i="9"/>
  <c r="C87" i="9"/>
  <c r="G86" i="9"/>
  <c r="F86" i="9"/>
  <c r="E86" i="9"/>
  <c r="D86" i="9"/>
  <c r="C86" i="9"/>
  <c r="G85" i="9"/>
  <c r="F85" i="9"/>
  <c r="E85" i="9"/>
  <c r="D85" i="9"/>
  <c r="C85" i="9"/>
  <c r="G84" i="9"/>
  <c r="F84" i="9"/>
  <c r="E84" i="9"/>
  <c r="D84" i="9"/>
  <c r="C84" i="9"/>
  <c r="G83" i="9"/>
  <c r="F83" i="9"/>
  <c r="E83" i="9"/>
  <c r="D83" i="9"/>
  <c r="C83" i="9"/>
  <c r="G82" i="9"/>
  <c r="F82" i="9"/>
  <c r="E82" i="9"/>
  <c r="D82" i="9"/>
  <c r="C82" i="9"/>
  <c r="G81" i="9"/>
  <c r="F81" i="9"/>
  <c r="E81" i="9"/>
  <c r="D81" i="9"/>
  <c r="C81" i="9"/>
  <c r="G80" i="9"/>
  <c r="F80" i="9"/>
  <c r="E80" i="9"/>
  <c r="D80" i="9"/>
  <c r="C80" i="9"/>
  <c r="G79" i="9"/>
  <c r="F79" i="9"/>
  <c r="E79" i="9"/>
  <c r="D79" i="9"/>
  <c r="C79" i="9"/>
  <c r="G78" i="9"/>
  <c r="F78" i="9"/>
  <c r="E78" i="9"/>
  <c r="D78" i="9"/>
  <c r="C78" i="9"/>
  <c r="G77" i="9"/>
  <c r="F77" i="9"/>
  <c r="E77" i="9"/>
  <c r="D77" i="9"/>
  <c r="C77" i="9"/>
  <c r="G76" i="9"/>
  <c r="F76" i="9"/>
  <c r="E76" i="9"/>
  <c r="D76" i="9"/>
  <c r="C76" i="9"/>
  <c r="G75" i="9"/>
  <c r="F75" i="9"/>
  <c r="E75" i="9"/>
  <c r="D75" i="9"/>
  <c r="C75" i="9"/>
  <c r="G74" i="9"/>
  <c r="F74" i="9"/>
  <c r="E74" i="9"/>
  <c r="D74" i="9"/>
  <c r="C74" i="9"/>
  <c r="G72" i="9"/>
  <c r="F72" i="9"/>
  <c r="E72" i="9"/>
  <c r="V176" i="6" s="1"/>
  <c r="F176" i="6" s="1"/>
  <c r="D72" i="9"/>
  <c r="C72" i="9"/>
  <c r="G71" i="9"/>
  <c r="F71" i="9"/>
  <c r="E71" i="9"/>
  <c r="D71" i="9"/>
  <c r="C71" i="9"/>
  <c r="G70" i="9"/>
  <c r="F70" i="9"/>
  <c r="E70" i="9"/>
  <c r="D70" i="9"/>
  <c r="C70" i="9"/>
  <c r="G69" i="9"/>
  <c r="F69" i="9"/>
  <c r="E69" i="9"/>
  <c r="D69" i="9"/>
  <c r="C69" i="9"/>
  <c r="G68" i="9"/>
  <c r="F68" i="9"/>
  <c r="E68" i="9"/>
  <c r="D68" i="9"/>
  <c r="C68" i="9"/>
  <c r="G67" i="9"/>
  <c r="F67" i="9"/>
  <c r="E67" i="9"/>
  <c r="D67" i="9"/>
  <c r="C67" i="9"/>
  <c r="G66" i="9"/>
  <c r="F66" i="9"/>
  <c r="E66" i="9"/>
  <c r="D66" i="9"/>
  <c r="C66" i="9"/>
  <c r="G65" i="9"/>
  <c r="F65" i="9"/>
  <c r="E65" i="9"/>
  <c r="V183" i="6" s="1"/>
  <c r="F183" i="6" s="1"/>
  <c r="D65" i="9"/>
  <c r="C65" i="9"/>
  <c r="G64" i="9"/>
  <c r="F64" i="9"/>
  <c r="E64" i="9"/>
  <c r="V182" i="6" s="1"/>
  <c r="F182" i="6" s="1"/>
  <c r="D64" i="9"/>
  <c r="C64" i="9"/>
  <c r="G63" i="9"/>
  <c r="F63" i="9"/>
  <c r="E63" i="9"/>
  <c r="V168" i="6" s="1"/>
  <c r="F168" i="6" s="1"/>
  <c r="D63" i="9"/>
  <c r="C63" i="9"/>
  <c r="G62" i="9"/>
  <c r="F62" i="9"/>
  <c r="E62" i="9"/>
  <c r="D62" i="9"/>
  <c r="C62" i="9"/>
  <c r="G61" i="9"/>
  <c r="F61" i="9"/>
  <c r="E61" i="9"/>
  <c r="D61" i="9"/>
  <c r="C61" i="9"/>
  <c r="G60" i="9"/>
  <c r="F60" i="9"/>
  <c r="E60" i="9"/>
  <c r="D60" i="9"/>
  <c r="C60" i="9"/>
  <c r="G59" i="9"/>
  <c r="F59" i="9"/>
  <c r="E59" i="9"/>
  <c r="D59" i="9"/>
  <c r="C59" i="9"/>
  <c r="G58" i="9"/>
  <c r="F58" i="9"/>
  <c r="E58" i="9"/>
  <c r="D58" i="9"/>
  <c r="C58" i="9"/>
  <c r="G57" i="9"/>
  <c r="F57" i="9"/>
  <c r="E57" i="9"/>
  <c r="D57" i="9"/>
  <c r="C57" i="9"/>
  <c r="G56" i="9"/>
  <c r="F56" i="9"/>
  <c r="E56" i="9"/>
  <c r="V166" i="6" s="1"/>
  <c r="F166" i="6" s="1"/>
  <c r="D56" i="9"/>
  <c r="C56" i="9"/>
  <c r="G55" i="9"/>
  <c r="F55" i="9"/>
  <c r="E55" i="9"/>
  <c r="D55" i="9"/>
  <c r="C55" i="9"/>
  <c r="G53" i="9"/>
  <c r="F53" i="9"/>
  <c r="F54" i="9" s="1"/>
  <c r="E53" i="9"/>
  <c r="E54" i="9" s="1"/>
  <c r="D53" i="9"/>
  <c r="C53" i="9"/>
  <c r="G51" i="9"/>
  <c r="F51" i="9"/>
  <c r="F52" i="9" s="1"/>
  <c r="E51" i="9"/>
  <c r="E52" i="9" s="1"/>
  <c r="D51" i="9"/>
  <c r="C51" i="9"/>
  <c r="F50" i="9"/>
  <c r="G49" i="9"/>
  <c r="F49" i="9"/>
  <c r="E49" i="9"/>
  <c r="E50" i="9" s="1"/>
  <c r="D49" i="9"/>
  <c r="C49" i="9"/>
  <c r="F48" i="9"/>
  <c r="G47" i="9"/>
  <c r="F47" i="9"/>
  <c r="E47" i="9"/>
  <c r="E48" i="9" s="1"/>
  <c r="D47" i="9"/>
  <c r="C47" i="9"/>
  <c r="F45" i="9"/>
  <c r="E45" i="9"/>
  <c r="D45" i="9"/>
  <c r="C45" i="9"/>
  <c r="G44" i="9"/>
  <c r="F44" i="9"/>
  <c r="E44" i="9"/>
  <c r="D44" i="9"/>
  <c r="C44" i="9"/>
  <c r="G43" i="9"/>
  <c r="F43" i="9"/>
  <c r="E43" i="9"/>
  <c r="D43" i="9"/>
  <c r="C43" i="9"/>
  <c r="G42" i="9"/>
  <c r="F42" i="9"/>
  <c r="E42" i="9"/>
  <c r="D42" i="9"/>
  <c r="C42" i="9"/>
  <c r="G40" i="9"/>
  <c r="F40" i="9"/>
  <c r="E40" i="9"/>
  <c r="D40" i="9"/>
  <c r="C40" i="9"/>
  <c r="G39" i="9"/>
  <c r="F39" i="9"/>
  <c r="E39" i="9"/>
  <c r="D39" i="9"/>
  <c r="C39" i="9"/>
  <c r="G38" i="9"/>
  <c r="F38" i="9"/>
  <c r="E38" i="9"/>
  <c r="V116" i="6" s="1"/>
  <c r="F116" i="6" s="1"/>
  <c r="D38" i="9"/>
  <c r="C38" i="9"/>
  <c r="G36" i="9"/>
  <c r="F36" i="9"/>
  <c r="F37" i="9" s="1"/>
  <c r="E36" i="9"/>
  <c r="E37" i="9" s="1"/>
  <c r="D36" i="9"/>
  <c r="C36" i="9"/>
  <c r="G34" i="9"/>
  <c r="F34" i="9"/>
  <c r="F35" i="9" s="1"/>
  <c r="E34" i="9"/>
  <c r="E35" i="9" s="1"/>
  <c r="D34" i="9"/>
  <c r="C34" i="9"/>
  <c r="G32" i="9"/>
  <c r="F32" i="9"/>
  <c r="F33" i="9" s="1"/>
  <c r="E32" i="9"/>
  <c r="E33" i="9" s="1"/>
  <c r="D32" i="9"/>
  <c r="C32" i="9"/>
  <c r="G30" i="9"/>
  <c r="F30" i="9"/>
  <c r="F31" i="9" s="1"/>
  <c r="E30" i="9"/>
  <c r="E31" i="9" s="1"/>
  <c r="D30" i="9"/>
  <c r="C30" i="9"/>
  <c r="G28" i="9"/>
  <c r="F28" i="9"/>
  <c r="F29" i="9" s="1"/>
  <c r="E28" i="9"/>
  <c r="E29" i="9" s="1"/>
  <c r="D28" i="9"/>
  <c r="C28" i="9"/>
  <c r="G26" i="9"/>
  <c r="F26" i="9"/>
  <c r="E26" i="9"/>
  <c r="D26" i="9"/>
  <c r="C26" i="9"/>
  <c r="G25" i="9"/>
  <c r="F25" i="9"/>
  <c r="E25" i="9"/>
  <c r="D25" i="9"/>
  <c r="C25" i="9"/>
  <c r="G24" i="9"/>
  <c r="F24" i="9"/>
  <c r="E24" i="9"/>
  <c r="D24" i="9"/>
  <c r="C24" i="9"/>
  <c r="G23" i="9"/>
  <c r="F23" i="9"/>
  <c r="E23" i="9"/>
  <c r="D23" i="9"/>
  <c r="C23" i="9"/>
  <c r="G22" i="9"/>
  <c r="F22" i="9"/>
  <c r="C22" i="9"/>
  <c r="E22" i="9" s="1"/>
  <c r="V59" i="6" s="1"/>
  <c r="G20" i="9"/>
  <c r="F20" i="9"/>
  <c r="E20" i="9"/>
  <c r="D20" i="9"/>
  <c r="C20" i="9"/>
  <c r="G19" i="9"/>
  <c r="F19" i="9"/>
  <c r="F21" i="9" s="1"/>
  <c r="E19" i="9"/>
  <c r="E21" i="9" s="1"/>
  <c r="D19" i="9"/>
  <c r="C19" i="9"/>
  <c r="G17" i="9"/>
  <c r="F17" i="9"/>
  <c r="E17" i="9"/>
  <c r="D17" i="9"/>
  <c r="C17" i="9"/>
  <c r="G16" i="9"/>
  <c r="F16" i="9"/>
  <c r="E16" i="9"/>
  <c r="D16" i="9"/>
  <c r="C16" i="9"/>
  <c r="G15" i="9"/>
  <c r="F15" i="9"/>
  <c r="E15" i="9"/>
  <c r="D15" i="9"/>
  <c r="C15" i="9"/>
  <c r="G14" i="9"/>
  <c r="F14" i="9"/>
  <c r="E14" i="9"/>
  <c r="D14" i="9"/>
  <c r="C14" i="9"/>
  <c r="G13" i="9"/>
  <c r="F13" i="9"/>
  <c r="E13" i="9"/>
  <c r="D13" i="9"/>
  <c r="C13" i="9"/>
  <c r="G12" i="9"/>
  <c r="F12" i="9"/>
  <c r="E12" i="9"/>
  <c r="V46" i="6" s="1"/>
  <c r="F46" i="6" s="1"/>
  <c r="F45" i="6" s="1"/>
  <c r="D12" i="9"/>
  <c r="C12" i="9"/>
  <c r="G11" i="9"/>
  <c r="F11" i="9"/>
  <c r="E11" i="9"/>
  <c r="V43" i="6" s="1"/>
  <c r="F43" i="6" s="1"/>
  <c r="D11" i="9"/>
  <c r="C11" i="9"/>
  <c r="G10" i="9"/>
  <c r="F10" i="9"/>
  <c r="E10" i="9"/>
  <c r="D10" i="9"/>
  <c r="C10" i="9"/>
  <c r="G9" i="9"/>
  <c r="F9" i="9"/>
  <c r="E9" i="9"/>
  <c r="D9" i="9"/>
  <c r="C9" i="9"/>
  <c r="G7" i="9"/>
  <c r="F7" i="9"/>
  <c r="E7" i="9"/>
  <c r="D7" i="9"/>
  <c r="C7" i="9"/>
  <c r="G6" i="9"/>
  <c r="F6" i="9"/>
  <c r="E6" i="9"/>
  <c r="E8" i="9" s="1"/>
  <c r="D6" i="9"/>
  <c r="C6" i="9"/>
  <c r="G4" i="9"/>
  <c r="F4" i="9"/>
  <c r="E4" i="9"/>
  <c r="D4" i="9"/>
  <c r="C4" i="9"/>
  <c r="G3" i="9"/>
  <c r="F3" i="9"/>
  <c r="E3" i="9"/>
  <c r="D3" i="9"/>
  <c r="C3" i="9"/>
  <c r="G2" i="9"/>
  <c r="F2" i="9"/>
  <c r="F5" i="9" s="1"/>
  <c r="E2" i="9"/>
  <c r="V14" i="6" s="1"/>
  <c r="F14" i="6" s="1"/>
  <c r="D2" i="9"/>
  <c r="C2" i="9"/>
  <c r="V57" i="6" l="1"/>
  <c r="F57" i="6" s="1"/>
  <c r="E356" i="9"/>
  <c r="V112" i="6"/>
  <c r="F112" i="6" s="1"/>
  <c r="V275" i="6"/>
  <c r="F275" i="6" s="1"/>
  <c r="E144" i="9"/>
  <c r="E253" i="9"/>
  <c r="E270" i="9"/>
  <c r="F290" i="9"/>
  <c r="F356" i="9"/>
  <c r="V298" i="6"/>
  <c r="F298" i="6" s="1"/>
  <c r="V420" i="6"/>
  <c r="V396" i="6"/>
  <c r="F396" i="6" s="1"/>
  <c r="F395" i="6" s="1"/>
  <c r="F394" i="6" s="1"/>
  <c r="V519" i="6"/>
  <c r="F519" i="6" s="1"/>
  <c r="F518" i="6" s="1"/>
  <c r="F46" i="9"/>
  <c r="F41" i="9"/>
  <c r="E73" i="9"/>
  <c r="E112" i="9"/>
  <c r="E118" i="9"/>
  <c r="F121" i="9"/>
  <c r="E129" i="9"/>
  <c r="E138" i="9"/>
  <c r="F169" i="9"/>
  <c r="F174" i="9"/>
  <c r="E211" i="9"/>
  <c r="F253" i="9"/>
  <c r="E259" i="9"/>
  <c r="E319" i="9"/>
  <c r="F322" i="9"/>
  <c r="E359" i="9"/>
  <c r="V169" i="6"/>
  <c r="F169" i="6" s="1"/>
  <c r="V512" i="6"/>
  <c r="F512" i="6" s="1"/>
  <c r="E88" i="9"/>
  <c r="F73" i="9"/>
  <c r="F112" i="9"/>
  <c r="F118" i="9"/>
  <c r="E136" i="9"/>
  <c r="E147" i="9"/>
  <c r="E164" i="9"/>
  <c r="E178" i="9"/>
  <c r="F211" i="9"/>
  <c r="F363" i="9" s="1"/>
  <c r="F365" i="9" s="1"/>
  <c r="F259" i="9"/>
  <c r="F270" i="9"/>
  <c r="F296" i="9"/>
  <c r="E305" i="9"/>
  <c r="E308" i="9"/>
  <c r="F319" i="9"/>
  <c r="F359" i="9"/>
  <c r="V149" i="6"/>
  <c r="F149" i="6" s="1"/>
  <c r="F148" i="6" s="1"/>
  <c r="E18" i="9"/>
  <c r="E290" i="9"/>
  <c r="V473" i="6"/>
  <c r="F473" i="6" s="1"/>
  <c r="F472" i="6" s="1"/>
  <c r="V369" i="6"/>
  <c r="E46" i="9"/>
  <c r="F18" i="9"/>
  <c r="D22" i="9"/>
  <c r="E27" i="9"/>
  <c r="E363" i="9" s="1"/>
  <c r="E365" i="9" s="1"/>
  <c r="F88" i="9"/>
  <c r="F144" i="9"/>
  <c r="F362" i="9"/>
  <c r="V515" i="6"/>
  <c r="F515" i="6" s="1"/>
  <c r="E5" i="9"/>
  <c r="F8" i="9"/>
  <c r="F27" i="9"/>
  <c r="E41" i="9"/>
  <c r="F150" i="9"/>
  <c r="E157" i="9"/>
  <c r="F305" i="9"/>
  <c r="V154" i="6"/>
  <c r="F154" i="6" s="1"/>
  <c r="F153" i="6" s="1"/>
  <c r="V98" i="6"/>
  <c r="F98" i="6" s="1"/>
  <c r="V245" i="6"/>
  <c r="F245" i="6" s="1"/>
  <c r="V479" i="6"/>
  <c r="F479" i="6" s="1"/>
  <c r="F477" i="6" s="1"/>
  <c r="F474" i="6" s="1"/>
  <c r="V375" i="6"/>
  <c r="F375" i="6" s="1"/>
  <c r="F373" i="6" s="1"/>
  <c r="Y360" i="6"/>
  <c r="AC357" i="6"/>
  <c r="AD359" i="6"/>
  <c r="AB360" i="6"/>
  <c r="AB359" i="6"/>
  <c r="AB358" i="6"/>
  <c r="AB357" i="6"/>
  <c r="AB356" i="6"/>
  <c r="AA360" i="6"/>
  <c r="AA359" i="6"/>
  <c r="AA358" i="6"/>
  <c r="AA357" i="6"/>
  <c r="AA356" i="6"/>
  <c r="G157" i="6"/>
  <c r="Y359" i="6"/>
  <c r="Y358" i="6"/>
  <c r="Y357" i="6"/>
  <c r="Y356" i="6"/>
  <c r="X360" i="6"/>
  <c r="X359" i="6"/>
  <c r="X358" i="6"/>
  <c r="X357" i="6"/>
  <c r="X356" i="6"/>
  <c r="AE359" i="6"/>
  <c r="AE358" i="6"/>
  <c r="AE357" i="6"/>
  <c r="M157" i="6"/>
  <c r="L157" i="6"/>
  <c r="K157" i="6"/>
  <c r="G11" i="6"/>
  <c r="J157" i="6"/>
  <c r="I157" i="6"/>
  <c r="O157" i="6"/>
  <c r="H157" i="6"/>
  <c r="N157" i="6"/>
  <c r="H11" i="6"/>
  <c r="I11" i="6"/>
  <c r="O11" i="6"/>
  <c r="N11" i="6"/>
  <c r="M11" i="6"/>
  <c r="L11" i="6"/>
  <c r="J11" i="6"/>
  <c r="V82" i="35"/>
  <c r="X82" i="35"/>
  <c r="Y82" i="35"/>
  <c r="L6" i="6"/>
  <c r="K52" i="35"/>
  <c r="M52" i="35"/>
  <c r="O6" i="6"/>
  <c r="D52" i="35"/>
  <c r="G6" i="6"/>
  <c r="J6" i="6"/>
  <c r="M6" i="6"/>
  <c r="N6" i="6"/>
  <c r="M82" i="35"/>
  <c r="N82" i="35"/>
  <c r="G52" i="35"/>
  <c r="H52" i="35"/>
  <c r="E52" i="35"/>
  <c r="D82" i="35"/>
  <c r="K6" i="6"/>
  <c r="E82" i="35"/>
  <c r="G82" i="35"/>
  <c r="J52" i="35"/>
  <c r="H82" i="35"/>
  <c r="J82" i="35"/>
  <c r="I6" i="6"/>
  <c r="V52" i="35"/>
  <c r="K82" i="35"/>
  <c r="H6" i="6"/>
  <c r="N52" i="35"/>
  <c r="F87" i="6"/>
  <c r="F56" i="6"/>
  <c r="F150" i="6"/>
  <c r="F197" i="6"/>
  <c r="F511" i="6"/>
  <c r="F42" i="6"/>
  <c r="F20" i="6"/>
  <c r="F13" i="6" s="1"/>
  <c r="F190" i="6"/>
  <c r="F123" i="6"/>
  <c r="F91" i="6"/>
  <c r="F525" i="6"/>
  <c r="F524" i="6" s="1"/>
  <c r="F137" i="6"/>
  <c r="F135" i="6"/>
  <c r="F79" i="6"/>
  <c r="F126" i="6"/>
  <c r="F37" i="6"/>
  <c r="F481" i="6"/>
  <c r="F490" i="6"/>
  <c r="F77" i="6"/>
  <c r="F106" i="6"/>
  <c r="F452" i="6"/>
  <c r="F451" i="6" s="1"/>
  <c r="F450" i="6" s="1"/>
  <c r="F420" i="6"/>
  <c r="F419" i="6" s="1"/>
  <c r="F379" i="6"/>
  <c r="F131" i="6"/>
  <c r="F129" i="6" s="1"/>
  <c r="F93" i="6"/>
  <c r="F363" i="6"/>
  <c r="F361" i="6" s="1"/>
  <c r="F503" i="6"/>
  <c r="F330" i="6"/>
  <c r="F316" i="6" s="1"/>
  <c r="F537" i="6"/>
  <c r="F495" i="6"/>
  <c r="F347" i="6"/>
  <c r="F356" i="6"/>
  <c r="F404" i="6"/>
  <c r="F403" i="6" s="1"/>
  <c r="F96" i="6"/>
  <c r="F459" i="6"/>
  <c r="F458" i="6" s="1"/>
  <c r="F337" i="6"/>
  <c r="F181" i="6"/>
  <c r="F180" i="6" s="1"/>
  <c r="F159" i="6" s="1"/>
  <c r="F436" i="6"/>
  <c r="F287" i="6"/>
  <c r="F225" i="6"/>
  <c r="F281" i="6"/>
  <c r="F29" i="6"/>
  <c r="F188" i="6"/>
  <c r="F47" i="6"/>
  <c r="F259" i="6"/>
  <c r="F273" i="6"/>
  <c r="F272" i="6" s="1"/>
  <c r="F270" i="6" s="1"/>
  <c r="F195" i="6"/>
  <c r="F215" i="6"/>
  <c r="F243" i="6"/>
  <c r="F343" i="6"/>
  <c r="F296" i="6"/>
  <c r="F229" i="6"/>
  <c r="F303" i="6"/>
  <c r="F162" i="6"/>
  <c r="F109" i="6"/>
  <c r="F70" i="6"/>
  <c r="F60" i="6"/>
  <c r="F140" i="6"/>
  <c r="F121" i="6"/>
  <c r="F101" i="6"/>
  <c r="F23" i="6"/>
  <c r="F22" i="6" s="1"/>
  <c r="T489" i="6"/>
  <c r="U489" i="6"/>
  <c r="T490" i="6"/>
  <c r="U490" i="6"/>
  <c r="T491" i="6"/>
  <c r="D491" i="6" s="1"/>
  <c r="U491" i="6"/>
  <c r="E491" i="6" s="1"/>
  <c r="T492" i="6"/>
  <c r="D492" i="6" s="1"/>
  <c r="U492" i="6"/>
  <c r="E492" i="6" s="1"/>
  <c r="T493" i="6"/>
  <c r="D493" i="6" s="1"/>
  <c r="U493" i="6"/>
  <c r="E493" i="6" s="1"/>
  <c r="T494" i="6"/>
  <c r="D494" i="6" s="1"/>
  <c r="U494" i="6"/>
  <c r="E494" i="6" s="1"/>
  <c r="T495" i="6"/>
  <c r="U495" i="6"/>
  <c r="T496" i="6"/>
  <c r="U496" i="6"/>
  <c r="T497" i="6"/>
  <c r="D497" i="6" s="1"/>
  <c r="D496" i="6" s="1"/>
  <c r="U497" i="6"/>
  <c r="E497" i="6" s="1"/>
  <c r="E496" i="6" s="1"/>
  <c r="T498" i="6"/>
  <c r="D498" i="6" s="1"/>
  <c r="U498" i="6"/>
  <c r="T499" i="6"/>
  <c r="D499" i="6" s="1"/>
  <c r="U499" i="6"/>
  <c r="E499" i="6" s="1"/>
  <c r="E498" i="6" s="1"/>
  <c r="T500" i="6"/>
  <c r="D500" i="6" s="1"/>
  <c r="U500" i="6"/>
  <c r="E500" i="6" s="1"/>
  <c r="T501" i="6"/>
  <c r="U501" i="6"/>
  <c r="T502" i="6"/>
  <c r="D502" i="6" s="1"/>
  <c r="D501" i="6" s="1"/>
  <c r="U502" i="6"/>
  <c r="E502" i="6" s="1"/>
  <c r="E501" i="6" s="1"/>
  <c r="T503" i="6"/>
  <c r="U503" i="6"/>
  <c r="T504" i="6"/>
  <c r="U504" i="6"/>
  <c r="T505" i="6"/>
  <c r="D505" i="6" s="1"/>
  <c r="D504" i="6" s="1"/>
  <c r="U505" i="6"/>
  <c r="E505" i="6" s="1"/>
  <c r="E504" i="6" s="1"/>
  <c r="T506" i="6"/>
  <c r="U506" i="6"/>
  <c r="T507" i="6"/>
  <c r="D507" i="6" s="1"/>
  <c r="D506" i="6" s="1"/>
  <c r="U507" i="6"/>
  <c r="E507" i="6" s="1"/>
  <c r="E506" i="6" s="1"/>
  <c r="T508" i="6"/>
  <c r="D508" i="6" s="1"/>
  <c r="U508" i="6"/>
  <c r="E508" i="6" s="1"/>
  <c r="T509" i="6"/>
  <c r="D509" i="6" s="1"/>
  <c r="U509" i="6"/>
  <c r="E509" i="6" s="1"/>
  <c r="T510" i="6"/>
  <c r="U510" i="6"/>
  <c r="T511" i="6"/>
  <c r="D511" i="6" s="1"/>
  <c r="U511" i="6"/>
  <c r="E511" i="6" s="1"/>
  <c r="T512" i="6"/>
  <c r="D512" i="6" s="1"/>
  <c r="U512" i="6"/>
  <c r="E512" i="6" s="1"/>
  <c r="T513" i="6"/>
  <c r="D513" i="6" s="1"/>
  <c r="U513" i="6"/>
  <c r="E513" i="6" s="1"/>
  <c r="T514" i="6"/>
  <c r="D514" i="6" s="1"/>
  <c r="U514" i="6"/>
  <c r="E514" i="6" s="1"/>
  <c r="T515" i="6"/>
  <c r="D515" i="6" s="1"/>
  <c r="U515" i="6"/>
  <c r="E515" i="6" s="1"/>
  <c r="T516" i="6"/>
  <c r="D516" i="6" s="1"/>
  <c r="U516" i="6"/>
  <c r="E516" i="6" s="1"/>
  <c r="T517" i="6"/>
  <c r="U517" i="6"/>
  <c r="T518" i="6"/>
  <c r="U518" i="6"/>
  <c r="T519" i="6"/>
  <c r="D519" i="6" s="1"/>
  <c r="D518" i="6" s="1"/>
  <c r="U519" i="6"/>
  <c r="E519" i="6" s="1"/>
  <c r="E518" i="6" s="1"/>
  <c r="T520" i="6"/>
  <c r="D520" i="6" s="1"/>
  <c r="U520" i="6"/>
  <c r="T521" i="6"/>
  <c r="D521" i="6" s="1"/>
  <c r="U521" i="6"/>
  <c r="E521" i="6" s="1"/>
  <c r="E520" i="6" s="1"/>
  <c r="T522" i="6"/>
  <c r="D522" i="6" s="1"/>
  <c r="U522" i="6"/>
  <c r="E522" i="6" s="1"/>
  <c r="T523" i="6"/>
  <c r="D523" i="6" s="1"/>
  <c r="U523" i="6"/>
  <c r="E523" i="6" s="1"/>
  <c r="T524" i="6"/>
  <c r="U524" i="6"/>
  <c r="T525" i="6"/>
  <c r="D525" i="6" s="1"/>
  <c r="U525" i="6"/>
  <c r="T526" i="6"/>
  <c r="D526" i="6" s="1"/>
  <c r="U526" i="6"/>
  <c r="E526" i="6" s="1"/>
  <c r="T527" i="6"/>
  <c r="D527" i="6" s="1"/>
  <c r="U527" i="6"/>
  <c r="E527" i="6" s="1"/>
  <c r="T528" i="6"/>
  <c r="D528" i="6" s="1"/>
  <c r="U528" i="6"/>
  <c r="E528" i="6" s="1"/>
  <c r="T529" i="6"/>
  <c r="D529" i="6" s="1"/>
  <c r="U529" i="6"/>
  <c r="E529" i="6" s="1"/>
  <c r="D531" i="6"/>
  <c r="D530" i="6" s="1"/>
  <c r="U531" i="6"/>
  <c r="E531" i="6" s="1"/>
  <c r="E530" i="6" s="1"/>
  <c r="T532" i="6"/>
  <c r="D532" i="6" s="1"/>
  <c r="U532" i="6"/>
  <c r="E532" i="6" s="1"/>
  <c r="T533" i="6"/>
  <c r="D533" i="6" s="1"/>
  <c r="U533" i="6"/>
  <c r="E533" i="6" s="1"/>
  <c r="T534" i="6"/>
  <c r="D534" i="6" s="1"/>
  <c r="U534" i="6"/>
  <c r="E534" i="6" s="1"/>
  <c r="T535" i="6"/>
  <c r="D535" i="6" s="1"/>
  <c r="U535" i="6"/>
  <c r="T536" i="6"/>
  <c r="D536" i="6" s="1"/>
  <c r="U536" i="6"/>
  <c r="E536" i="6" s="1"/>
  <c r="E535" i="6" s="1"/>
  <c r="T537" i="6"/>
  <c r="U537" i="6"/>
  <c r="T538" i="6"/>
  <c r="D538" i="6" s="1"/>
  <c r="U538" i="6"/>
  <c r="E538" i="6" s="1"/>
  <c r="T539" i="6"/>
  <c r="D539" i="6" s="1"/>
  <c r="U539" i="6"/>
  <c r="T540" i="6"/>
  <c r="D540" i="6" s="1"/>
  <c r="U540" i="6"/>
  <c r="E540" i="6" s="1"/>
  <c r="E539" i="6" s="1"/>
  <c r="T541" i="6"/>
  <c r="D541" i="6" s="1"/>
  <c r="U541" i="6"/>
  <c r="E541" i="6" s="1"/>
  <c r="T542" i="6"/>
  <c r="U542" i="6"/>
  <c r="T543" i="6"/>
  <c r="D543" i="6" s="1"/>
  <c r="D542" i="6" s="1"/>
  <c r="U543" i="6"/>
  <c r="E543" i="6" s="1"/>
  <c r="E542" i="6" s="1"/>
  <c r="U488" i="6"/>
  <c r="T488" i="6"/>
  <c r="U486" i="6"/>
  <c r="E486" i="6" s="1"/>
  <c r="U485" i="6"/>
  <c r="U484" i="6"/>
  <c r="U483" i="6"/>
  <c r="E483" i="6" s="1"/>
  <c r="U482" i="6"/>
  <c r="E482" i="6" s="1"/>
  <c r="U481" i="6"/>
  <c r="E481" i="6" s="1"/>
  <c r="U480" i="6"/>
  <c r="U479" i="6"/>
  <c r="E479" i="6" s="1"/>
  <c r="U478" i="6"/>
  <c r="E478" i="6" s="1"/>
  <c r="U477" i="6"/>
  <c r="U476" i="6"/>
  <c r="E476" i="6" s="1"/>
  <c r="U475" i="6"/>
  <c r="E475" i="6" s="1"/>
  <c r="U474" i="6"/>
  <c r="U473" i="6"/>
  <c r="E473" i="6" s="1"/>
  <c r="E472" i="6" s="1"/>
  <c r="U472" i="6"/>
  <c r="U471" i="6"/>
  <c r="E471" i="6" s="1"/>
  <c r="U470" i="6"/>
  <c r="E470" i="6" s="1"/>
  <c r="U469" i="6"/>
  <c r="U468" i="6"/>
  <c r="E468" i="6" s="1"/>
  <c r="U467" i="6"/>
  <c r="E467" i="6" s="1"/>
  <c r="U466" i="6"/>
  <c r="E466" i="6" s="1"/>
  <c r="U465" i="6"/>
  <c r="E465" i="6" s="1"/>
  <c r="U464" i="6"/>
  <c r="U463" i="6"/>
  <c r="E463" i="6" s="1"/>
  <c r="U462" i="6"/>
  <c r="E462" i="6" s="1"/>
  <c r="U461" i="6"/>
  <c r="U460" i="6"/>
  <c r="E460" i="6" s="1"/>
  <c r="U459" i="6"/>
  <c r="U458" i="6"/>
  <c r="U457" i="6"/>
  <c r="U456" i="6"/>
  <c r="U455" i="6"/>
  <c r="E455" i="6" s="1"/>
  <c r="U454" i="6"/>
  <c r="E454" i="6" s="1"/>
  <c r="U453" i="6"/>
  <c r="U452" i="6"/>
  <c r="U451" i="6"/>
  <c r="U450" i="6"/>
  <c r="U449" i="6"/>
  <c r="E449" i="6" s="1"/>
  <c r="U448" i="6"/>
  <c r="U447" i="6"/>
  <c r="E447" i="6" s="1"/>
  <c r="E446" i="6" s="1"/>
  <c r="U446" i="6"/>
  <c r="U445" i="6"/>
  <c r="U444" i="6"/>
  <c r="E444" i="6" s="1"/>
  <c r="U443" i="6"/>
  <c r="E443" i="6" s="1"/>
  <c r="U442" i="6"/>
  <c r="E442" i="6" s="1"/>
  <c r="U441" i="6"/>
  <c r="E441" i="6" s="1"/>
  <c r="U440" i="6"/>
  <c r="U439" i="6"/>
  <c r="E439" i="6" s="1"/>
  <c r="U438" i="6"/>
  <c r="E438" i="6" s="1"/>
  <c r="U437" i="6"/>
  <c r="U436" i="6"/>
  <c r="U435" i="6"/>
  <c r="E435" i="6" s="1"/>
  <c r="U434" i="6"/>
  <c r="E434" i="6" s="1"/>
  <c r="U433" i="6"/>
  <c r="E433" i="6" s="1"/>
  <c r="U432" i="6"/>
  <c r="U431" i="6"/>
  <c r="E431" i="6" s="1"/>
  <c r="U430" i="6"/>
  <c r="E430" i="6" s="1"/>
  <c r="U429" i="6"/>
  <c r="U428" i="6"/>
  <c r="E428" i="6" s="1"/>
  <c r="U427" i="6"/>
  <c r="E427" i="6" s="1"/>
  <c r="U426" i="6"/>
  <c r="E426" i="6" s="1"/>
  <c r="U425" i="6"/>
  <c r="E425" i="6" s="1"/>
  <c r="U424" i="6"/>
  <c r="U423" i="6"/>
  <c r="E423" i="6" s="1"/>
  <c r="U422" i="6"/>
  <c r="E422" i="6" s="1"/>
  <c r="U421" i="6"/>
  <c r="U420" i="6"/>
  <c r="E420" i="6" s="1"/>
  <c r="U419" i="6"/>
  <c r="U418" i="6"/>
  <c r="E418" i="6" s="1"/>
  <c r="U417" i="6"/>
  <c r="U416" i="6"/>
  <c r="U415" i="6"/>
  <c r="E415" i="6" s="1"/>
  <c r="U414" i="6"/>
  <c r="E414" i="6" s="1"/>
  <c r="U413" i="6"/>
  <c r="U412" i="6"/>
  <c r="E412" i="6" s="1"/>
  <c r="U411" i="6"/>
  <c r="E411" i="6" s="1"/>
  <c r="U410" i="6"/>
  <c r="E410" i="6" s="1"/>
  <c r="U409" i="6"/>
  <c r="E409" i="6" s="1"/>
  <c r="U408" i="6"/>
  <c r="U407" i="6"/>
  <c r="E407" i="6" s="1"/>
  <c r="U406" i="6"/>
  <c r="E406" i="6" s="1"/>
  <c r="U405" i="6"/>
  <c r="U404" i="6"/>
  <c r="U403" i="6"/>
  <c r="U402" i="6"/>
  <c r="E402" i="6" s="1"/>
  <c r="U401" i="6"/>
  <c r="E401" i="6" s="1"/>
  <c r="E400" i="6" s="1"/>
  <c r="U400" i="6"/>
  <c r="U399" i="6"/>
  <c r="E399" i="6" s="1"/>
  <c r="U398" i="6"/>
  <c r="E398" i="6" s="1"/>
  <c r="U397" i="6"/>
  <c r="U396" i="6"/>
  <c r="E396" i="6" s="1"/>
  <c r="U395" i="6"/>
  <c r="E395" i="6" s="1"/>
  <c r="U394" i="6"/>
  <c r="U393" i="6"/>
  <c r="E393" i="6" s="1"/>
  <c r="U392" i="6"/>
  <c r="U391" i="6"/>
  <c r="E391" i="6" s="1"/>
  <c r="U390" i="6"/>
  <c r="E390" i="6" s="1"/>
  <c r="U389" i="6"/>
  <c r="U388" i="6"/>
  <c r="E388" i="6" s="1"/>
  <c r="U387" i="6"/>
  <c r="E387" i="6" s="1"/>
  <c r="E386" i="6" s="1"/>
  <c r="U386" i="6"/>
  <c r="U385" i="6"/>
  <c r="E385" i="6" s="1"/>
  <c r="U384" i="6"/>
  <c r="U383" i="6"/>
  <c r="E383" i="6" s="1"/>
  <c r="U382" i="6"/>
  <c r="E382" i="6" s="1"/>
  <c r="U381" i="6"/>
  <c r="U380" i="6"/>
  <c r="E380" i="6" s="1"/>
  <c r="U379" i="6"/>
  <c r="U378" i="6"/>
  <c r="E378" i="6" s="1"/>
  <c r="U377" i="6"/>
  <c r="E377" i="6" s="1"/>
  <c r="U376" i="6"/>
  <c r="U375" i="6"/>
  <c r="E375" i="6" s="1"/>
  <c r="U374" i="6"/>
  <c r="E374" i="6" s="1"/>
  <c r="U373" i="6"/>
  <c r="U372" i="6"/>
  <c r="U371" i="6"/>
  <c r="E371" i="6" s="1"/>
  <c r="U370" i="6"/>
  <c r="E370" i="6" s="1"/>
  <c r="E369" i="6" s="1"/>
  <c r="U369" i="6"/>
  <c r="U368" i="6"/>
  <c r="U367" i="6"/>
  <c r="E367" i="6" s="1"/>
  <c r="U366" i="6"/>
  <c r="E366" i="6" s="1"/>
  <c r="U365" i="6"/>
  <c r="E365" i="6" s="1"/>
  <c r="U364" i="6"/>
  <c r="E364" i="6" s="1"/>
  <c r="U363" i="6"/>
  <c r="E363" i="6" s="1"/>
  <c r="U362" i="6"/>
  <c r="E362" i="6" s="1"/>
  <c r="U361" i="6"/>
  <c r="U360" i="6"/>
  <c r="E360" i="6" s="1"/>
  <c r="U359" i="6"/>
  <c r="E359" i="6" s="1"/>
  <c r="U358" i="6"/>
  <c r="E358" i="6" s="1"/>
  <c r="E357" i="6" s="1"/>
  <c r="U357" i="6"/>
  <c r="U356" i="6"/>
  <c r="U355" i="6"/>
  <c r="U158" i="6"/>
  <c r="U159" i="6"/>
  <c r="U160" i="6"/>
  <c r="U161" i="6"/>
  <c r="E161" i="6" s="1"/>
  <c r="U162" i="6"/>
  <c r="U163" i="6"/>
  <c r="U164" i="6"/>
  <c r="E164" i="6" s="1"/>
  <c r="U165" i="6"/>
  <c r="E165" i="6" s="1"/>
  <c r="U166" i="6"/>
  <c r="E166" i="6" s="1"/>
  <c r="U167" i="6"/>
  <c r="E167" i="6" s="1"/>
  <c r="U168" i="6"/>
  <c r="U169" i="6"/>
  <c r="E169" i="6" s="1"/>
  <c r="U170" i="6"/>
  <c r="E170" i="6" s="1"/>
  <c r="U171" i="6"/>
  <c r="U172" i="6"/>
  <c r="E172" i="6" s="1"/>
  <c r="U173" i="6"/>
  <c r="E173" i="6" s="1"/>
  <c r="U174" i="6"/>
  <c r="E174" i="6" s="1"/>
  <c r="U175" i="6"/>
  <c r="E175" i="6" s="1"/>
  <c r="U176" i="6"/>
  <c r="U177" i="6"/>
  <c r="E177" i="6" s="1"/>
  <c r="U178" i="6"/>
  <c r="E178" i="6" s="1"/>
  <c r="U179" i="6"/>
  <c r="U180" i="6"/>
  <c r="U181" i="6"/>
  <c r="U182" i="6"/>
  <c r="E182" i="6" s="1"/>
  <c r="U183" i="6"/>
  <c r="E183" i="6" s="1"/>
  <c r="U184" i="6"/>
  <c r="U185" i="6"/>
  <c r="E185" i="6" s="1"/>
  <c r="U186" i="6"/>
  <c r="E186" i="6" s="1"/>
  <c r="U187" i="6"/>
  <c r="U188" i="6"/>
  <c r="U189" i="6"/>
  <c r="E189" i="6" s="1"/>
  <c r="U190" i="6"/>
  <c r="U191" i="6"/>
  <c r="E191" i="6" s="1"/>
  <c r="U192" i="6"/>
  <c r="U193" i="6"/>
  <c r="U194" i="6"/>
  <c r="E194" i="6" s="1"/>
  <c r="U195" i="6"/>
  <c r="U196" i="6"/>
  <c r="E196" i="6" s="1"/>
  <c r="U197" i="6"/>
  <c r="U198" i="6"/>
  <c r="E198" i="6" s="1"/>
  <c r="U199" i="6"/>
  <c r="E199" i="6" s="1"/>
  <c r="U200" i="6"/>
  <c r="U201" i="6"/>
  <c r="E201" i="6" s="1"/>
  <c r="U202" i="6"/>
  <c r="E202" i="6" s="1"/>
  <c r="U203" i="6"/>
  <c r="U204" i="6"/>
  <c r="E204" i="6" s="1"/>
  <c r="U205" i="6"/>
  <c r="E205" i="6" s="1"/>
  <c r="U206" i="6"/>
  <c r="E206" i="6" s="1"/>
  <c r="U207" i="6"/>
  <c r="E207" i="6" s="1"/>
  <c r="U208" i="6"/>
  <c r="U209" i="6"/>
  <c r="E209" i="6" s="1"/>
  <c r="U210" i="6"/>
  <c r="E210" i="6" s="1"/>
  <c r="U211" i="6"/>
  <c r="U212" i="6"/>
  <c r="E212" i="6" s="1"/>
  <c r="U213" i="6"/>
  <c r="E213" i="6" s="1"/>
  <c r="U214" i="6"/>
  <c r="E214" i="6" s="1"/>
  <c r="U215" i="6"/>
  <c r="U216" i="6"/>
  <c r="U217" i="6"/>
  <c r="E217" i="6" s="1"/>
  <c r="E216" i="6" s="1"/>
  <c r="U218" i="6"/>
  <c r="U219" i="6"/>
  <c r="U220" i="6"/>
  <c r="U221" i="6"/>
  <c r="E221" i="6" s="1"/>
  <c r="U222" i="6"/>
  <c r="E222" i="6" s="1"/>
  <c r="U223" i="6"/>
  <c r="E223" i="6" s="1"/>
  <c r="U224" i="6"/>
  <c r="U225" i="6"/>
  <c r="U226" i="6"/>
  <c r="U227" i="6"/>
  <c r="U228" i="6"/>
  <c r="U229" i="6"/>
  <c r="U230" i="6"/>
  <c r="E230" i="6" s="1"/>
  <c r="U231" i="6"/>
  <c r="E231" i="6" s="1"/>
  <c r="U232" i="6"/>
  <c r="U233" i="6"/>
  <c r="E233" i="6" s="1"/>
  <c r="U234" i="6"/>
  <c r="E234" i="6" s="1"/>
  <c r="U235" i="6"/>
  <c r="U236" i="6"/>
  <c r="U237" i="6"/>
  <c r="E237" i="6" s="1"/>
  <c r="E236" i="6" s="1"/>
  <c r="U238" i="6"/>
  <c r="E238" i="6" s="1"/>
  <c r="U239" i="6"/>
  <c r="E239" i="6" s="1"/>
  <c r="U240" i="6"/>
  <c r="U241" i="6"/>
  <c r="E241" i="6" s="1"/>
  <c r="E240" i="6" s="1"/>
  <c r="U242" i="6"/>
  <c r="E242" i="6" s="1"/>
  <c r="U243" i="6"/>
  <c r="U244" i="6"/>
  <c r="U245" i="6"/>
  <c r="E245" i="6" s="1"/>
  <c r="U246" i="6"/>
  <c r="E246" i="6" s="1"/>
  <c r="U247" i="6"/>
  <c r="E247" i="6" s="1"/>
  <c r="U248" i="6"/>
  <c r="U249" i="6"/>
  <c r="E249" i="6" s="1"/>
  <c r="U250" i="6"/>
  <c r="E250" i="6" s="1"/>
  <c r="U251" i="6"/>
  <c r="U252" i="6"/>
  <c r="U253" i="6"/>
  <c r="E253" i="6" s="1"/>
  <c r="E252" i="6" s="1"/>
  <c r="U254" i="6"/>
  <c r="E254" i="6" s="1"/>
  <c r="U255" i="6"/>
  <c r="E255" i="6" s="1"/>
  <c r="U256" i="6"/>
  <c r="U257" i="6"/>
  <c r="E257" i="6" s="1"/>
  <c r="U258" i="6"/>
  <c r="E258" i="6" s="1"/>
  <c r="U259" i="6"/>
  <c r="U260" i="6"/>
  <c r="U261" i="6"/>
  <c r="E261" i="6" s="1"/>
  <c r="E260" i="6" s="1"/>
  <c r="U262" i="6"/>
  <c r="U263" i="6"/>
  <c r="E263" i="6" s="1"/>
  <c r="E262" i="6" s="1"/>
  <c r="U264" i="6"/>
  <c r="U265" i="6"/>
  <c r="E265" i="6" s="1"/>
  <c r="U266" i="6"/>
  <c r="U267" i="6"/>
  <c r="U268" i="6"/>
  <c r="E268" i="6" s="1"/>
  <c r="U269" i="6"/>
  <c r="U270" i="6"/>
  <c r="U271" i="6"/>
  <c r="E271" i="6" s="1"/>
  <c r="U272" i="6"/>
  <c r="U273" i="6"/>
  <c r="U274" i="6"/>
  <c r="E274" i="6" s="1"/>
  <c r="U275" i="6"/>
  <c r="U276" i="6"/>
  <c r="E276" i="6" s="1"/>
  <c r="U277" i="6"/>
  <c r="E277" i="6" s="1"/>
  <c r="U278" i="6"/>
  <c r="E278" i="6" s="1"/>
  <c r="U279" i="6"/>
  <c r="E279" i="6" s="1"/>
  <c r="U280" i="6"/>
  <c r="U281" i="6"/>
  <c r="U282" i="6"/>
  <c r="E282" i="6" s="1"/>
  <c r="U283" i="6"/>
  <c r="U284" i="6"/>
  <c r="E284" i="6" s="1"/>
  <c r="U285" i="6"/>
  <c r="E285" i="6" s="1"/>
  <c r="U286" i="6"/>
  <c r="E286" i="6" s="1"/>
  <c r="U287" i="6"/>
  <c r="U288" i="6"/>
  <c r="U289" i="6"/>
  <c r="E289" i="6" s="1"/>
  <c r="E288" i="6" s="1"/>
  <c r="U290" i="6"/>
  <c r="E290" i="6" s="1"/>
  <c r="U291" i="6"/>
  <c r="U292" i="6"/>
  <c r="E292" i="6" s="1"/>
  <c r="U293" i="6"/>
  <c r="U294" i="6"/>
  <c r="E294" i="6" s="1"/>
  <c r="E293" i="6" s="1"/>
  <c r="U295" i="6"/>
  <c r="U296" i="6"/>
  <c r="U297" i="6"/>
  <c r="E297" i="6" s="1"/>
  <c r="U298" i="6"/>
  <c r="E298" i="6" s="1"/>
  <c r="U299" i="6"/>
  <c r="U300" i="6"/>
  <c r="E300" i="6" s="1"/>
  <c r="U301" i="6"/>
  <c r="E301" i="6" s="1"/>
  <c r="U302" i="6"/>
  <c r="E302" i="6" s="1"/>
  <c r="U303" i="6"/>
  <c r="U304" i="6"/>
  <c r="U305" i="6"/>
  <c r="E305" i="6" s="1"/>
  <c r="U306" i="6"/>
  <c r="E306" i="6" s="1"/>
  <c r="U307" i="6"/>
  <c r="U308" i="6"/>
  <c r="E308" i="6" s="1"/>
  <c r="U309" i="6"/>
  <c r="E309" i="6" s="1"/>
  <c r="U310" i="6"/>
  <c r="E310" i="6" s="1"/>
  <c r="U311" i="6"/>
  <c r="E311" i="6" s="1"/>
  <c r="U312" i="6"/>
  <c r="U313" i="6"/>
  <c r="E313" i="6" s="1"/>
  <c r="U314" i="6"/>
  <c r="E314" i="6" s="1"/>
  <c r="U315" i="6"/>
  <c r="U316" i="6"/>
  <c r="U317" i="6"/>
  <c r="E317" i="6" s="1"/>
  <c r="U318" i="6"/>
  <c r="E318" i="6" s="1"/>
  <c r="U319" i="6"/>
  <c r="E319" i="6" s="1"/>
  <c r="U320" i="6"/>
  <c r="U321" i="6"/>
  <c r="E321" i="6" s="1"/>
  <c r="U322" i="6"/>
  <c r="E322" i="6" s="1"/>
  <c r="U323" i="6"/>
  <c r="U324" i="6"/>
  <c r="E324" i="6" s="1"/>
  <c r="U325" i="6"/>
  <c r="E325" i="6" s="1"/>
  <c r="U326" i="6"/>
  <c r="E326" i="6" s="1"/>
  <c r="U327" i="6"/>
  <c r="U328" i="6"/>
  <c r="U329" i="6"/>
  <c r="E329" i="6" s="1"/>
  <c r="U330" i="6"/>
  <c r="U331" i="6"/>
  <c r="U332" i="6"/>
  <c r="E332" i="6" s="1"/>
  <c r="U333" i="6"/>
  <c r="U334" i="6"/>
  <c r="E334" i="6" s="1"/>
  <c r="E333" i="6" s="1"/>
  <c r="U335" i="6"/>
  <c r="E335" i="6" s="1"/>
  <c r="U336" i="6"/>
  <c r="U337" i="6"/>
  <c r="E337" i="6" s="1"/>
  <c r="U338" i="6"/>
  <c r="E338" i="6" s="1"/>
  <c r="U339" i="6"/>
  <c r="U340" i="6"/>
  <c r="E340" i="6" s="1"/>
  <c r="U341" i="6"/>
  <c r="E341" i="6" s="1"/>
  <c r="U342" i="6"/>
  <c r="E342" i="6" s="1"/>
  <c r="U343" i="6"/>
  <c r="U344" i="6"/>
  <c r="U345" i="6"/>
  <c r="U346" i="6"/>
  <c r="E346" i="6" s="1"/>
  <c r="U347" i="6"/>
  <c r="U348" i="6"/>
  <c r="E348" i="6" s="1"/>
  <c r="U349" i="6"/>
  <c r="E349" i="6" s="1"/>
  <c r="U350" i="6"/>
  <c r="E350" i="6" s="1"/>
  <c r="U351" i="6"/>
  <c r="E351" i="6" s="1"/>
  <c r="U352" i="6"/>
  <c r="U353" i="6"/>
  <c r="E353" i="6" s="1"/>
  <c r="E352" i="6" s="1"/>
  <c r="U157" i="6"/>
  <c r="U12" i="6"/>
  <c r="U13" i="6"/>
  <c r="U14" i="6"/>
  <c r="U15" i="6"/>
  <c r="E15" i="6" s="1"/>
  <c r="U16" i="6"/>
  <c r="E16" i="6" s="1"/>
  <c r="U17" i="6"/>
  <c r="U18" i="6"/>
  <c r="E18" i="6" s="1"/>
  <c r="U19" i="6"/>
  <c r="E19" i="6" s="1"/>
  <c r="U20" i="6"/>
  <c r="U21" i="6"/>
  <c r="E21" i="6" s="1"/>
  <c r="U22" i="6"/>
  <c r="U23" i="6"/>
  <c r="U24" i="6"/>
  <c r="E24" i="6" s="1"/>
  <c r="U25" i="6"/>
  <c r="U26" i="6"/>
  <c r="E26" i="6" s="1"/>
  <c r="U27" i="6"/>
  <c r="E27" i="6" s="1"/>
  <c r="U28" i="6"/>
  <c r="U29" i="6"/>
  <c r="U30" i="6"/>
  <c r="E30" i="6" s="1"/>
  <c r="U31" i="6"/>
  <c r="E31" i="6" s="1"/>
  <c r="U32" i="6"/>
  <c r="E32" i="6" s="1"/>
  <c r="U33" i="6"/>
  <c r="U34" i="6"/>
  <c r="E34" i="6" s="1"/>
  <c r="U35" i="6"/>
  <c r="E35" i="6" s="1"/>
  <c r="U36" i="6"/>
  <c r="U37" i="6"/>
  <c r="U38" i="6"/>
  <c r="E38" i="6" s="1"/>
  <c r="U39" i="6"/>
  <c r="E39" i="6" s="1"/>
  <c r="U40" i="6"/>
  <c r="E40" i="6" s="1"/>
  <c r="U41" i="6"/>
  <c r="U42" i="6"/>
  <c r="U43" i="6"/>
  <c r="E43" i="6" s="1"/>
  <c r="U44" i="6"/>
  <c r="U45" i="6"/>
  <c r="U46" i="6"/>
  <c r="E46" i="6" s="1"/>
  <c r="E45" i="6" s="1"/>
  <c r="U47" i="6"/>
  <c r="U48" i="6"/>
  <c r="E48" i="6" s="1"/>
  <c r="U49" i="6"/>
  <c r="U50" i="6"/>
  <c r="E50" i="6" s="1"/>
  <c r="U51" i="6"/>
  <c r="E51" i="6" s="1"/>
  <c r="U52" i="6"/>
  <c r="U53" i="6"/>
  <c r="E53" i="6" s="1"/>
  <c r="E52" i="6" s="1"/>
  <c r="U54" i="6"/>
  <c r="U55" i="6"/>
  <c r="E55" i="6" s="1"/>
  <c r="E54" i="6" s="1"/>
  <c r="U56" i="6"/>
  <c r="U57" i="6"/>
  <c r="E57" i="6" s="1"/>
  <c r="U58" i="6"/>
  <c r="E58" i="6" s="1"/>
  <c r="U59" i="6"/>
  <c r="U60" i="6"/>
  <c r="U61" i="6"/>
  <c r="E61" i="6" s="1"/>
  <c r="U62" i="6"/>
  <c r="E62" i="6" s="1"/>
  <c r="U63" i="6"/>
  <c r="E63" i="6" s="1"/>
  <c r="U64" i="6"/>
  <c r="E64" i="6" s="1"/>
  <c r="U65" i="6"/>
  <c r="E65" i="6" s="1"/>
  <c r="U66" i="6"/>
  <c r="E66" i="6" s="1"/>
  <c r="U67" i="6"/>
  <c r="E67" i="6" s="1"/>
  <c r="U68" i="6"/>
  <c r="U69" i="6"/>
  <c r="E69" i="6" s="1"/>
  <c r="U70" i="6"/>
  <c r="U71" i="6"/>
  <c r="E71" i="6" s="1"/>
  <c r="U72" i="6"/>
  <c r="E72" i="6" s="1"/>
  <c r="U73" i="6"/>
  <c r="E73" i="6" s="1"/>
  <c r="U74" i="6"/>
  <c r="E74" i="6" s="1"/>
  <c r="U75" i="6"/>
  <c r="E75" i="6" s="1"/>
  <c r="U76" i="6"/>
  <c r="U77" i="6"/>
  <c r="U78" i="6"/>
  <c r="E78" i="6" s="1"/>
  <c r="U79" i="6"/>
  <c r="U80" i="6"/>
  <c r="E80" i="6" s="1"/>
  <c r="U81" i="6"/>
  <c r="E81" i="6" s="1"/>
  <c r="U82" i="6"/>
  <c r="E82" i="6" s="1"/>
  <c r="U83" i="6"/>
  <c r="E83" i="6" s="1"/>
  <c r="U84" i="6"/>
  <c r="E84" i="6" s="1"/>
  <c r="U85" i="6"/>
  <c r="E85" i="6" s="1"/>
  <c r="U86" i="6"/>
  <c r="U87" i="6"/>
  <c r="U88" i="6"/>
  <c r="U89" i="6"/>
  <c r="E89" i="6" s="1"/>
  <c r="E88" i="6" s="1"/>
  <c r="U90" i="6"/>
  <c r="E90" i="6" s="1"/>
  <c r="U91" i="6"/>
  <c r="U92" i="6"/>
  <c r="U93" i="6"/>
  <c r="U94" i="6"/>
  <c r="E94" i="6" s="1"/>
  <c r="U95" i="6"/>
  <c r="E95" i="6" s="1"/>
  <c r="U96" i="6"/>
  <c r="U97" i="6"/>
  <c r="E97" i="6" s="1"/>
  <c r="U98" i="6"/>
  <c r="E98" i="6" s="1"/>
  <c r="U99" i="6"/>
  <c r="E99" i="6" s="1"/>
  <c r="U100" i="6"/>
  <c r="U101" i="6"/>
  <c r="U102" i="6"/>
  <c r="U103" i="6"/>
  <c r="E103" i="6" s="1"/>
  <c r="E102" i="6" s="1"/>
  <c r="U104" i="6"/>
  <c r="E104" i="6" s="1"/>
  <c r="U105" i="6"/>
  <c r="E105" i="6" s="1"/>
  <c r="U106" i="6"/>
  <c r="U107" i="6"/>
  <c r="E107" i="6" s="1"/>
  <c r="U108" i="6"/>
  <c r="E108" i="6" s="1"/>
  <c r="U109" i="6"/>
  <c r="U110" i="6"/>
  <c r="U111" i="6"/>
  <c r="E111" i="6" s="1"/>
  <c r="E110" i="6" s="1"/>
  <c r="U112" i="6"/>
  <c r="U113" i="6"/>
  <c r="E113" i="6" s="1"/>
  <c r="U114" i="6"/>
  <c r="U115" i="6"/>
  <c r="E115" i="6" s="1"/>
  <c r="E114" i="6" s="1"/>
  <c r="U116" i="6"/>
  <c r="U117" i="6"/>
  <c r="E117" i="6" s="1"/>
  <c r="U118" i="6"/>
  <c r="E118" i="6" s="1"/>
  <c r="U119" i="6"/>
  <c r="E119" i="6" s="1"/>
  <c r="U120" i="6"/>
  <c r="E120" i="6" s="1"/>
  <c r="U121" i="6"/>
  <c r="U122" i="6"/>
  <c r="E122" i="6" s="1"/>
  <c r="U123" i="6"/>
  <c r="U124" i="6"/>
  <c r="E124" i="6" s="1"/>
  <c r="U125" i="6"/>
  <c r="E125" i="6" s="1"/>
  <c r="U126" i="6"/>
  <c r="U127" i="6"/>
  <c r="E127" i="6" s="1"/>
  <c r="U128" i="6"/>
  <c r="E128" i="6" s="1"/>
  <c r="U129" i="6"/>
  <c r="U130" i="6"/>
  <c r="E130" i="6" s="1"/>
  <c r="U131" i="6"/>
  <c r="U132" i="6"/>
  <c r="E132" i="6" s="1"/>
  <c r="U133" i="6"/>
  <c r="E133" i="6" s="1"/>
  <c r="U134" i="6"/>
  <c r="U135" i="6"/>
  <c r="U136" i="6"/>
  <c r="E136" i="6" s="1"/>
  <c r="U137" i="6"/>
  <c r="U138" i="6"/>
  <c r="E138" i="6" s="1"/>
  <c r="U139" i="6"/>
  <c r="E139" i="6" s="1"/>
  <c r="U140" i="6"/>
  <c r="U141" i="6"/>
  <c r="E141" i="6" s="1"/>
  <c r="U142" i="6"/>
  <c r="E142" i="6" s="1"/>
  <c r="U143" i="6"/>
  <c r="E143" i="6" s="1"/>
  <c r="U144" i="6"/>
  <c r="E144" i="6" s="1"/>
  <c r="U145" i="6"/>
  <c r="E145" i="6" s="1"/>
  <c r="U146" i="6"/>
  <c r="E146" i="6" s="1"/>
  <c r="U147" i="6"/>
  <c r="U148" i="6"/>
  <c r="U149" i="6"/>
  <c r="E149" i="6" s="1"/>
  <c r="U150" i="6"/>
  <c r="U151" i="6"/>
  <c r="E151" i="6" s="1"/>
  <c r="U152" i="6"/>
  <c r="E152" i="6" s="1"/>
  <c r="U153" i="6"/>
  <c r="U154" i="6"/>
  <c r="E154" i="6" s="1"/>
  <c r="U155" i="6"/>
  <c r="E155" i="6" s="1"/>
  <c r="E17" i="6"/>
  <c r="E25" i="6"/>
  <c r="E28" i="6"/>
  <c r="E33" i="6"/>
  <c r="E36" i="6"/>
  <c r="E41" i="6"/>
  <c r="E44" i="6"/>
  <c r="E49" i="6"/>
  <c r="E68" i="6"/>
  <c r="E76" i="6"/>
  <c r="E92" i="6"/>
  <c r="E100" i="6"/>
  <c r="E160" i="6"/>
  <c r="E163" i="6"/>
  <c r="E168" i="6"/>
  <c r="E171" i="6"/>
  <c r="E176" i="6"/>
  <c r="E179" i="6"/>
  <c r="E184" i="6"/>
  <c r="E187" i="6"/>
  <c r="E192" i="6"/>
  <c r="E203" i="6"/>
  <c r="E208" i="6"/>
  <c r="E211" i="6"/>
  <c r="E219" i="6"/>
  <c r="E218" i="6" s="1"/>
  <c r="E220" i="6"/>
  <c r="E224" i="6"/>
  <c r="E226" i="6"/>
  <c r="E227" i="6"/>
  <c r="E232" i="6"/>
  <c r="E235" i="6"/>
  <c r="E244" i="6"/>
  <c r="E248" i="6"/>
  <c r="E251" i="6"/>
  <c r="E256" i="6"/>
  <c r="E264" i="6"/>
  <c r="E267" i="6"/>
  <c r="E266" i="6" s="1"/>
  <c r="E275" i="6"/>
  <c r="E280" i="6"/>
  <c r="E283" i="6"/>
  <c r="E291" i="6"/>
  <c r="E299" i="6"/>
  <c r="E304" i="6"/>
  <c r="E307" i="6"/>
  <c r="E312" i="6"/>
  <c r="E315" i="6"/>
  <c r="E320" i="6"/>
  <c r="E323" i="6"/>
  <c r="E328" i="6"/>
  <c r="E327" i="6" s="1"/>
  <c r="E331" i="6"/>
  <c r="E339" i="6"/>
  <c r="E344" i="6"/>
  <c r="E345" i="6"/>
  <c r="E347" i="6"/>
  <c r="E368" i="6"/>
  <c r="E373" i="6"/>
  <c r="E376" i="6"/>
  <c r="E381" i="6"/>
  <c r="E384" i="6"/>
  <c r="E389" i="6"/>
  <c r="E392" i="6"/>
  <c r="E397" i="6"/>
  <c r="E405" i="6"/>
  <c r="E408" i="6"/>
  <c r="E413" i="6"/>
  <c r="E416" i="6"/>
  <c r="E421" i="6"/>
  <c r="E424" i="6"/>
  <c r="E429" i="6"/>
  <c r="E432" i="6"/>
  <c r="E437" i="6"/>
  <c r="E440" i="6"/>
  <c r="E445" i="6"/>
  <c r="E448" i="6"/>
  <c r="E453" i="6"/>
  <c r="E456" i="6"/>
  <c r="E461" i="6"/>
  <c r="E464" i="6"/>
  <c r="E469" i="6"/>
  <c r="E480" i="6"/>
  <c r="E485" i="6"/>
  <c r="E484" i="6" s="1"/>
  <c r="U11" i="6"/>
  <c r="F510" i="6" l="1"/>
  <c r="G355" i="6"/>
  <c r="F372" i="6"/>
  <c r="F134" i="6"/>
  <c r="F147" i="6"/>
  <c r="E56" i="6"/>
  <c r="E153" i="6"/>
  <c r="F457" i="6"/>
  <c r="E193" i="6"/>
  <c r="E93" i="6"/>
  <c r="E77" i="6"/>
  <c r="F517" i="6"/>
  <c r="E190" i="6"/>
  <c r="E137" i="6"/>
  <c r="E200" i="6"/>
  <c r="F269" i="6"/>
  <c r="F489" i="6"/>
  <c r="E96" i="6"/>
  <c r="E525" i="6"/>
  <c r="E524" i="6" s="1"/>
  <c r="F417" i="6"/>
  <c r="E135" i="6"/>
  <c r="E148" i="6"/>
  <c r="E20" i="6"/>
  <c r="F228" i="6"/>
  <c r="F158" i="6"/>
  <c r="F336" i="6"/>
  <c r="F59" i="6"/>
  <c r="F86" i="6"/>
  <c r="F295" i="6"/>
  <c r="F12" i="6"/>
  <c r="E379" i="6"/>
  <c r="E372" i="6" s="1"/>
  <c r="E452" i="6"/>
  <c r="E451" i="6" s="1"/>
  <c r="E450" i="6" s="1"/>
  <c r="E42" i="6"/>
  <c r="E79" i="6"/>
  <c r="E394" i="6"/>
  <c r="E87" i="6"/>
  <c r="E459" i="6"/>
  <c r="E458" i="6" s="1"/>
  <c r="E495" i="6"/>
  <c r="E436" i="6"/>
  <c r="E510" i="6"/>
  <c r="E490" i="6"/>
  <c r="D510" i="6"/>
  <c r="D490" i="6"/>
  <c r="D524" i="6"/>
  <c r="D503" i="6"/>
  <c r="E287" i="6"/>
  <c r="E123" i="6"/>
  <c r="E121" i="6" s="1"/>
  <c r="E343" i="6"/>
  <c r="E336" i="6" s="1"/>
  <c r="E91" i="6"/>
  <c r="E503" i="6"/>
  <c r="D495" i="6"/>
  <c r="E537" i="6"/>
  <c r="D537" i="6"/>
  <c r="E303" i="6"/>
  <c r="E296" i="6"/>
  <c r="E356" i="6"/>
  <c r="E330" i="6"/>
  <c r="E316" i="6" s="1"/>
  <c r="E419" i="6"/>
  <c r="E195" i="6"/>
  <c r="E477" i="6"/>
  <c r="E474" i="6" s="1"/>
  <c r="E361" i="6"/>
  <c r="E404" i="6"/>
  <c r="E403" i="6" s="1"/>
  <c r="E281" i="6"/>
  <c r="E188" i="6"/>
  <c r="E225" i="6"/>
  <c r="E197" i="6"/>
  <c r="E243" i="6"/>
  <c r="E273" i="6"/>
  <c r="E272" i="6" s="1"/>
  <c r="E270" i="6" s="1"/>
  <c r="E215" i="6"/>
  <c r="E112" i="6"/>
  <c r="E109" i="6" s="1"/>
  <c r="E106" i="6"/>
  <c r="E259" i="6"/>
  <c r="E181" i="6"/>
  <c r="E180" i="6" s="1"/>
  <c r="E159" i="6" s="1"/>
  <c r="E126" i="6"/>
  <c r="E140" i="6"/>
  <c r="E162" i="6"/>
  <c r="E150" i="6"/>
  <c r="E60" i="6"/>
  <c r="E29" i="6"/>
  <c r="E23" i="6"/>
  <c r="E22" i="6" s="1"/>
  <c r="E116" i="6"/>
  <c r="E37" i="6"/>
  <c r="E101" i="6"/>
  <c r="E14" i="6"/>
  <c r="E131" i="6"/>
  <c r="E129" i="6" s="1"/>
  <c r="E70" i="6"/>
  <c r="E229" i="6"/>
  <c r="E47" i="6"/>
  <c r="T486" i="6"/>
  <c r="D486" i="6" s="1"/>
  <c r="T485" i="6"/>
  <c r="D485" i="6" s="1"/>
  <c r="D484" i="6" s="1"/>
  <c r="T484" i="6"/>
  <c r="T483" i="6"/>
  <c r="D483" i="6" s="1"/>
  <c r="T482" i="6"/>
  <c r="D482" i="6" s="1"/>
  <c r="T481" i="6"/>
  <c r="D481" i="6" s="1"/>
  <c r="T480" i="6"/>
  <c r="D480" i="6" s="1"/>
  <c r="T479" i="6"/>
  <c r="D479" i="6" s="1"/>
  <c r="T478" i="6"/>
  <c r="D478" i="6" s="1"/>
  <c r="T477" i="6"/>
  <c r="T476" i="6"/>
  <c r="D476" i="6" s="1"/>
  <c r="T475" i="6"/>
  <c r="D475" i="6" s="1"/>
  <c r="T474" i="6"/>
  <c r="T473" i="6"/>
  <c r="D473" i="6" s="1"/>
  <c r="D472" i="6" s="1"/>
  <c r="T472" i="6"/>
  <c r="T471" i="6"/>
  <c r="D471" i="6" s="1"/>
  <c r="T470" i="6"/>
  <c r="D470" i="6" s="1"/>
  <c r="T469" i="6"/>
  <c r="D469" i="6" s="1"/>
  <c r="T468" i="6"/>
  <c r="D468" i="6" s="1"/>
  <c r="T467" i="6"/>
  <c r="D467" i="6" s="1"/>
  <c r="T466" i="6"/>
  <c r="D466" i="6" s="1"/>
  <c r="T465" i="6"/>
  <c r="D465" i="6" s="1"/>
  <c r="T464" i="6"/>
  <c r="D464" i="6" s="1"/>
  <c r="T463" i="6"/>
  <c r="D463" i="6" s="1"/>
  <c r="T462" i="6"/>
  <c r="D462" i="6" s="1"/>
  <c r="T461" i="6"/>
  <c r="D461" i="6" s="1"/>
  <c r="T460" i="6"/>
  <c r="D460" i="6" s="1"/>
  <c r="T459" i="6"/>
  <c r="D459" i="6" s="1"/>
  <c r="T458" i="6"/>
  <c r="T457" i="6"/>
  <c r="T456" i="6"/>
  <c r="D456" i="6" s="1"/>
  <c r="T455" i="6"/>
  <c r="D455" i="6" s="1"/>
  <c r="T454" i="6"/>
  <c r="D454" i="6" s="1"/>
  <c r="T453" i="6"/>
  <c r="D453" i="6" s="1"/>
  <c r="T452" i="6"/>
  <c r="D452" i="6" s="1"/>
  <c r="T451" i="6"/>
  <c r="T450" i="6"/>
  <c r="T449" i="6"/>
  <c r="D449" i="6" s="1"/>
  <c r="T448" i="6"/>
  <c r="D448" i="6" s="1"/>
  <c r="T447" i="6"/>
  <c r="D447" i="6" s="1"/>
  <c r="D446" i="6" s="1"/>
  <c r="T446" i="6"/>
  <c r="T445" i="6"/>
  <c r="D445" i="6" s="1"/>
  <c r="T444" i="6"/>
  <c r="D444" i="6" s="1"/>
  <c r="T443" i="6"/>
  <c r="D443" i="6" s="1"/>
  <c r="T442" i="6"/>
  <c r="D442" i="6" s="1"/>
  <c r="T441" i="6"/>
  <c r="D441" i="6" s="1"/>
  <c r="T440" i="6"/>
  <c r="D440" i="6" s="1"/>
  <c r="T439" i="6"/>
  <c r="D439" i="6" s="1"/>
  <c r="T438" i="6"/>
  <c r="D438" i="6" s="1"/>
  <c r="T437" i="6"/>
  <c r="D437" i="6" s="1"/>
  <c r="T436" i="6"/>
  <c r="D436" i="6" s="1"/>
  <c r="T435" i="6"/>
  <c r="D435" i="6" s="1"/>
  <c r="T434" i="6"/>
  <c r="D434" i="6" s="1"/>
  <c r="T433" i="6"/>
  <c r="D433" i="6" s="1"/>
  <c r="T432" i="6"/>
  <c r="D432" i="6" s="1"/>
  <c r="T431" i="6"/>
  <c r="D431" i="6" s="1"/>
  <c r="T430" i="6"/>
  <c r="D430" i="6" s="1"/>
  <c r="T429" i="6"/>
  <c r="D429" i="6" s="1"/>
  <c r="T428" i="6"/>
  <c r="D428" i="6" s="1"/>
  <c r="T427" i="6"/>
  <c r="D427" i="6" s="1"/>
  <c r="T426" i="6"/>
  <c r="D426" i="6" s="1"/>
  <c r="T425" i="6"/>
  <c r="D425" i="6" s="1"/>
  <c r="T424" i="6"/>
  <c r="D424" i="6" s="1"/>
  <c r="T423" i="6"/>
  <c r="D423" i="6" s="1"/>
  <c r="T422" i="6"/>
  <c r="D422" i="6" s="1"/>
  <c r="T421" i="6"/>
  <c r="D421" i="6" s="1"/>
  <c r="T420" i="6"/>
  <c r="D420" i="6" s="1"/>
  <c r="T419" i="6"/>
  <c r="T418" i="6"/>
  <c r="D418" i="6" s="1"/>
  <c r="T417" i="6"/>
  <c r="T416" i="6"/>
  <c r="D416" i="6" s="1"/>
  <c r="T415" i="6"/>
  <c r="D415" i="6" s="1"/>
  <c r="T414" i="6"/>
  <c r="D414" i="6" s="1"/>
  <c r="T413" i="6"/>
  <c r="D413" i="6" s="1"/>
  <c r="T412" i="6"/>
  <c r="D412" i="6" s="1"/>
  <c r="T411" i="6"/>
  <c r="D411" i="6" s="1"/>
  <c r="T410" i="6"/>
  <c r="D410" i="6" s="1"/>
  <c r="T409" i="6"/>
  <c r="D409" i="6" s="1"/>
  <c r="T408" i="6"/>
  <c r="D408" i="6" s="1"/>
  <c r="T407" i="6"/>
  <c r="D407" i="6" s="1"/>
  <c r="T406" i="6"/>
  <c r="D406" i="6" s="1"/>
  <c r="T405" i="6"/>
  <c r="D405" i="6" s="1"/>
  <c r="T404" i="6"/>
  <c r="T403" i="6"/>
  <c r="T402" i="6"/>
  <c r="D402" i="6" s="1"/>
  <c r="T401" i="6"/>
  <c r="D401" i="6" s="1"/>
  <c r="T400" i="6"/>
  <c r="D400" i="6" s="1"/>
  <c r="T399" i="6"/>
  <c r="D399" i="6" s="1"/>
  <c r="T398" i="6"/>
  <c r="D398" i="6" s="1"/>
  <c r="T397" i="6"/>
  <c r="D397" i="6" s="1"/>
  <c r="T396" i="6"/>
  <c r="D396" i="6" s="1"/>
  <c r="T395" i="6"/>
  <c r="D395" i="6" s="1"/>
  <c r="T394" i="6"/>
  <c r="T393" i="6"/>
  <c r="D393" i="6" s="1"/>
  <c r="T392" i="6"/>
  <c r="D392" i="6" s="1"/>
  <c r="T391" i="6"/>
  <c r="D391" i="6" s="1"/>
  <c r="T390" i="6"/>
  <c r="D390" i="6" s="1"/>
  <c r="T389" i="6"/>
  <c r="D389" i="6" s="1"/>
  <c r="T388" i="6"/>
  <c r="D388" i="6" s="1"/>
  <c r="T387" i="6"/>
  <c r="D387" i="6" s="1"/>
  <c r="T386" i="6"/>
  <c r="D386" i="6" s="1"/>
  <c r="T385" i="6"/>
  <c r="D385" i="6" s="1"/>
  <c r="T384" i="6"/>
  <c r="D384" i="6" s="1"/>
  <c r="T383" i="6"/>
  <c r="D383" i="6" s="1"/>
  <c r="T382" i="6"/>
  <c r="D382" i="6" s="1"/>
  <c r="T381" i="6"/>
  <c r="D381" i="6" s="1"/>
  <c r="T380" i="6"/>
  <c r="D380" i="6" s="1"/>
  <c r="T379" i="6"/>
  <c r="D379" i="6" s="1"/>
  <c r="T378" i="6"/>
  <c r="D378" i="6" s="1"/>
  <c r="T377" i="6"/>
  <c r="D377" i="6" s="1"/>
  <c r="T376" i="6"/>
  <c r="D376" i="6" s="1"/>
  <c r="T375" i="6"/>
  <c r="D375" i="6" s="1"/>
  <c r="T374" i="6"/>
  <c r="D374" i="6" s="1"/>
  <c r="T373" i="6"/>
  <c r="D373" i="6" s="1"/>
  <c r="T372" i="6"/>
  <c r="T371" i="6"/>
  <c r="D371" i="6" s="1"/>
  <c r="T370" i="6"/>
  <c r="D370" i="6" s="1"/>
  <c r="D369" i="6" s="1"/>
  <c r="T369" i="6"/>
  <c r="T368" i="6"/>
  <c r="D368" i="6" s="1"/>
  <c r="T367" i="6"/>
  <c r="D367" i="6" s="1"/>
  <c r="T366" i="6"/>
  <c r="D366" i="6" s="1"/>
  <c r="T365" i="6"/>
  <c r="D365" i="6" s="1"/>
  <c r="T364" i="6"/>
  <c r="D364" i="6" s="1"/>
  <c r="T363" i="6"/>
  <c r="D363" i="6" s="1"/>
  <c r="T362" i="6"/>
  <c r="D362" i="6" s="1"/>
  <c r="T361" i="6"/>
  <c r="T360" i="6"/>
  <c r="D360" i="6" s="1"/>
  <c r="T359" i="6"/>
  <c r="D359" i="6" s="1"/>
  <c r="T358" i="6"/>
  <c r="D358" i="6" s="1"/>
  <c r="T357" i="6"/>
  <c r="D357" i="6" s="1"/>
  <c r="T356" i="6"/>
  <c r="T355" i="6"/>
  <c r="T353" i="6"/>
  <c r="D353" i="6" s="1"/>
  <c r="D352" i="6" s="1"/>
  <c r="T352" i="6"/>
  <c r="T351" i="6"/>
  <c r="D351" i="6" s="1"/>
  <c r="T350" i="6"/>
  <c r="D350" i="6" s="1"/>
  <c r="T349" i="6"/>
  <c r="D349" i="6" s="1"/>
  <c r="T348" i="6"/>
  <c r="D348" i="6" s="1"/>
  <c r="T347" i="6"/>
  <c r="D347" i="6" s="1"/>
  <c r="T346" i="6"/>
  <c r="D346" i="6" s="1"/>
  <c r="T345" i="6"/>
  <c r="D345" i="6" s="1"/>
  <c r="T344" i="6"/>
  <c r="D344" i="6" s="1"/>
  <c r="T343" i="6"/>
  <c r="D343" i="6" s="1"/>
  <c r="T342" i="6"/>
  <c r="D342" i="6" s="1"/>
  <c r="T341" i="6"/>
  <c r="D341" i="6" s="1"/>
  <c r="T340" i="6"/>
  <c r="D340" i="6" s="1"/>
  <c r="T339" i="6"/>
  <c r="D339" i="6" s="1"/>
  <c r="T338" i="6"/>
  <c r="D338" i="6" s="1"/>
  <c r="T337" i="6"/>
  <c r="D337" i="6" s="1"/>
  <c r="T336" i="6"/>
  <c r="T335" i="6"/>
  <c r="D335" i="6" s="1"/>
  <c r="T334" i="6"/>
  <c r="D334" i="6" s="1"/>
  <c r="D333" i="6" s="1"/>
  <c r="T333" i="6"/>
  <c r="T332" i="6"/>
  <c r="D332" i="6" s="1"/>
  <c r="T331" i="6"/>
  <c r="D331" i="6" s="1"/>
  <c r="T330" i="6"/>
  <c r="D330" i="6" s="1"/>
  <c r="T329" i="6"/>
  <c r="D329" i="6" s="1"/>
  <c r="T328" i="6"/>
  <c r="D328" i="6" s="1"/>
  <c r="D327" i="6" s="1"/>
  <c r="T327" i="6"/>
  <c r="T326" i="6"/>
  <c r="D326" i="6" s="1"/>
  <c r="T325" i="6"/>
  <c r="D325" i="6" s="1"/>
  <c r="T324" i="6"/>
  <c r="D324" i="6" s="1"/>
  <c r="T323" i="6"/>
  <c r="D323" i="6" s="1"/>
  <c r="T322" i="6"/>
  <c r="D322" i="6" s="1"/>
  <c r="T321" i="6"/>
  <c r="D321" i="6" s="1"/>
  <c r="T320" i="6"/>
  <c r="D320" i="6" s="1"/>
  <c r="T319" i="6"/>
  <c r="D319" i="6" s="1"/>
  <c r="T318" i="6"/>
  <c r="D318" i="6" s="1"/>
  <c r="T317" i="6"/>
  <c r="D317" i="6" s="1"/>
  <c r="T316" i="6"/>
  <c r="T315" i="6"/>
  <c r="D315" i="6" s="1"/>
  <c r="T314" i="6"/>
  <c r="D314" i="6" s="1"/>
  <c r="T313" i="6"/>
  <c r="D313" i="6" s="1"/>
  <c r="T312" i="6"/>
  <c r="D312" i="6" s="1"/>
  <c r="T311" i="6"/>
  <c r="D311" i="6" s="1"/>
  <c r="T310" i="6"/>
  <c r="D310" i="6" s="1"/>
  <c r="T309" i="6"/>
  <c r="D309" i="6" s="1"/>
  <c r="T308" i="6"/>
  <c r="D308" i="6" s="1"/>
  <c r="T307" i="6"/>
  <c r="D307" i="6" s="1"/>
  <c r="T306" i="6"/>
  <c r="D306" i="6" s="1"/>
  <c r="T305" i="6"/>
  <c r="D305" i="6" s="1"/>
  <c r="T304" i="6"/>
  <c r="D304" i="6" s="1"/>
  <c r="T303" i="6"/>
  <c r="D303" i="6" s="1"/>
  <c r="T302" i="6"/>
  <c r="D302" i="6" s="1"/>
  <c r="T301" i="6"/>
  <c r="D301" i="6" s="1"/>
  <c r="T300" i="6"/>
  <c r="D300" i="6" s="1"/>
  <c r="T299" i="6"/>
  <c r="D299" i="6" s="1"/>
  <c r="T298" i="6"/>
  <c r="D298" i="6" s="1"/>
  <c r="T297" i="6"/>
  <c r="D297" i="6" s="1"/>
  <c r="T296" i="6"/>
  <c r="D296" i="6" s="1"/>
  <c r="T295" i="6"/>
  <c r="T294" i="6"/>
  <c r="D294" i="6" s="1"/>
  <c r="D293" i="6" s="1"/>
  <c r="T293" i="6"/>
  <c r="T292" i="6"/>
  <c r="D292" i="6" s="1"/>
  <c r="T291" i="6"/>
  <c r="D291" i="6" s="1"/>
  <c r="T290" i="6"/>
  <c r="D290" i="6" s="1"/>
  <c r="T289" i="6"/>
  <c r="D289" i="6" s="1"/>
  <c r="T288" i="6"/>
  <c r="D288" i="6" s="1"/>
  <c r="T287" i="6"/>
  <c r="T286" i="6"/>
  <c r="D286" i="6" s="1"/>
  <c r="T285" i="6"/>
  <c r="D285" i="6" s="1"/>
  <c r="T284" i="6"/>
  <c r="D284" i="6" s="1"/>
  <c r="T283" i="6"/>
  <c r="D283" i="6" s="1"/>
  <c r="T282" i="6"/>
  <c r="D282" i="6" s="1"/>
  <c r="T281" i="6"/>
  <c r="T280" i="6"/>
  <c r="D280" i="6" s="1"/>
  <c r="T279" i="6"/>
  <c r="D279" i="6" s="1"/>
  <c r="T278" i="6"/>
  <c r="D278" i="6" s="1"/>
  <c r="T277" i="6"/>
  <c r="D277" i="6" s="1"/>
  <c r="T276" i="6"/>
  <c r="D276" i="6" s="1"/>
  <c r="T275" i="6"/>
  <c r="D275" i="6" s="1"/>
  <c r="T274" i="6"/>
  <c r="D274" i="6" s="1"/>
  <c r="T273" i="6"/>
  <c r="T272" i="6"/>
  <c r="T271" i="6"/>
  <c r="D271" i="6" s="1"/>
  <c r="T270" i="6"/>
  <c r="D270" i="6" s="1"/>
  <c r="T269" i="6"/>
  <c r="T268" i="6"/>
  <c r="D268" i="6" s="1"/>
  <c r="T267" i="6"/>
  <c r="D267" i="6" s="1"/>
  <c r="D266" i="6" s="1"/>
  <c r="T266" i="6"/>
  <c r="T265" i="6"/>
  <c r="D265" i="6" s="1"/>
  <c r="T264" i="6"/>
  <c r="D264" i="6" s="1"/>
  <c r="T263" i="6"/>
  <c r="D263" i="6" s="1"/>
  <c r="T262" i="6"/>
  <c r="D262" i="6" s="1"/>
  <c r="T261" i="6"/>
  <c r="D261" i="6" s="1"/>
  <c r="T260" i="6"/>
  <c r="D260" i="6" s="1"/>
  <c r="T259" i="6"/>
  <c r="T258" i="6"/>
  <c r="D258" i="6" s="1"/>
  <c r="T257" i="6"/>
  <c r="D257" i="6" s="1"/>
  <c r="T256" i="6"/>
  <c r="D256" i="6" s="1"/>
  <c r="T255" i="6"/>
  <c r="D255" i="6" s="1"/>
  <c r="T254" i="6"/>
  <c r="D254" i="6" s="1"/>
  <c r="T253" i="6"/>
  <c r="D253" i="6" s="1"/>
  <c r="D252" i="6" s="1"/>
  <c r="T252" i="6"/>
  <c r="T251" i="6"/>
  <c r="D251" i="6" s="1"/>
  <c r="T250" i="6"/>
  <c r="D250" i="6" s="1"/>
  <c r="T249" i="6"/>
  <c r="D249" i="6" s="1"/>
  <c r="T248" i="6"/>
  <c r="D248" i="6" s="1"/>
  <c r="T247" i="6"/>
  <c r="D247" i="6" s="1"/>
  <c r="T246" i="6"/>
  <c r="D246" i="6" s="1"/>
  <c r="T245" i="6"/>
  <c r="D245" i="6" s="1"/>
  <c r="T244" i="6"/>
  <c r="D244" i="6" s="1"/>
  <c r="T243" i="6"/>
  <c r="T242" i="6"/>
  <c r="D242" i="6" s="1"/>
  <c r="T241" i="6"/>
  <c r="D241" i="6" s="1"/>
  <c r="D240" i="6" s="1"/>
  <c r="T240" i="6"/>
  <c r="T239" i="6"/>
  <c r="D239" i="6" s="1"/>
  <c r="T238" i="6"/>
  <c r="D238" i="6" s="1"/>
  <c r="T237" i="6"/>
  <c r="D237" i="6" s="1"/>
  <c r="T236" i="6"/>
  <c r="D236" i="6" s="1"/>
  <c r="T235" i="6"/>
  <c r="D235" i="6" s="1"/>
  <c r="T234" i="6"/>
  <c r="D234" i="6" s="1"/>
  <c r="T233" i="6"/>
  <c r="D233" i="6" s="1"/>
  <c r="T232" i="6"/>
  <c r="D232" i="6" s="1"/>
  <c r="T231" i="6"/>
  <c r="D231" i="6" s="1"/>
  <c r="T230" i="6"/>
  <c r="D230" i="6" s="1"/>
  <c r="T229" i="6"/>
  <c r="T228" i="6"/>
  <c r="T227" i="6"/>
  <c r="D227" i="6" s="1"/>
  <c r="T226" i="6"/>
  <c r="D226" i="6" s="1"/>
  <c r="T225" i="6"/>
  <c r="T224" i="6"/>
  <c r="D224" i="6" s="1"/>
  <c r="T223" i="6"/>
  <c r="D223" i="6" s="1"/>
  <c r="T222" i="6"/>
  <c r="D222" i="6" s="1"/>
  <c r="T221" i="6"/>
  <c r="D221" i="6" s="1"/>
  <c r="T220" i="6"/>
  <c r="D220" i="6" s="1"/>
  <c r="T219" i="6"/>
  <c r="D219" i="6" s="1"/>
  <c r="D218" i="6" s="1"/>
  <c r="T218" i="6"/>
  <c r="T217" i="6"/>
  <c r="D217" i="6" s="1"/>
  <c r="D216" i="6" s="1"/>
  <c r="T216" i="6"/>
  <c r="T215" i="6"/>
  <c r="T214" i="6"/>
  <c r="D214" i="6" s="1"/>
  <c r="T213" i="6"/>
  <c r="D213" i="6" s="1"/>
  <c r="T212" i="6"/>
  <c r="D212" i="6" s="1"/>
  <c r="T211" i="6"/>
  <c r="D211" i="6" s="1"/>
  <c r="T210" i="6"/>
  <c r="D210" i="6" s="1"/>
  <c r="T209" i="6"/>
  <c r="D209" i="6" s="1"/>
  <c r="T208" i="6"/>
  <c r="D208" i="6" s="1"/>
  <c r="T207" i="6"/>
  <c r="D207" i="6" s="1"/>
  <c r="T206" i="6"/>
  <c r="D206" i="6" s="1"/>
  <c r="T205" i="6"/>
  <c r="D205" i="6" s="1"/>
  <c r="T204" i="6"/>
  <c r="D204" i="6" s="1"/>
  <c r="T203" i="6"/>
  <c r="D203" i="6" s="1"/>
  <c r="T202" i="6"/>
  <c r="D202" i="6" s="1"/>
  <c r="T201" i="6"/>
  <c r="D201" i="6" s="1"/>
  <c r="T200" i="6"/>
  <c r="T199" i="6"/>
  <c r="D199" i="6" s="1"/>
  <c r="T198" i="6"/>
  <c r="D198" i="6" s="1"/>
  <c r="T197" i="6"/>
  <c r="T196" i="6"/>
  <c r="D196" i="6" s="1"/>
  <c r="T195" i="6"/>
  <c r="T194" i="6"/>
  <c r="D194" i="6" s="1"/>
  <c r="T193" i="6"/>
  <c r="T192" i="6"/>
  <c r="D192" i="6" s="1"/>
  <c r="T191" i="6"/>
  <c r="D191" i="6" s="1"/>
  <c r="T190" i="6"/>
  <c r="T189" i="6"/>
  <c r="D189" i="6" s="1"/>
  <c r="T188" i="6"/>
  <c r="T187" i="6"/>
  <c r="D187" i="6" s="1"/>
  <c r="T186" i="6"/>
  <c r="D186" i="6" s="1"/>
  <c r="T185" i="6"/>
  <c r="D185" i="6" s="1"/>
  <c r="T184" i="6"/>
  <c r="D184" i="6" s="1"/>
  <c r="T183" i="6"/>
  <c r="D183" i="6" s="1"/>
  <c r="T182" i="6"/>
  <c r="D182" i="6" s="1"/>
  <c r="T181" i="6"/>
  <c r="T180" i="6"/>
  <c r="D180" i="6" s="1"/>
  <c r="T179" i="6"/>
  <c r="D179" i="6" s="1"/>
  <c r="T178" i="6"/>
  <c r="D178" i="6" s="1"/>
  <c r="T177" i="6"/>
  <c r="D177" i="6" s="1"/>
  <c r="T176" i="6"/>
  <c r="D176" i="6" s="1"/>
  <c r="T175" i="6"/>
  <c r="D175" i="6" s="1"/>
  <c r="T174" i="6"/>
  <c r="D174" i="6" s="1"/>
  <c r="T173" i="6"/>
  <c r="D173" i="6" s="1"/>
  <c r="T172" i="6"/>
  <c r="D172" i="6" s="1"/>
  <c r="T171" i="6"/>
  <c r="D171" i="6" s="1"/>
  <c r="T170" i="6"/>
  <c r="D170" i="6" s="1"/>
  <c r="T169" i="6"/>
  <c r="D169" i="6" s="1"/>
  <c r="T168" i="6"/>
  <c r="D168" i="6" s="1"/>
  <c r="T167" i="6"/>
  <c r="D167" i="6" s="1"/>
  <c r="T166" i="6"/>
  <c r="D166" i="6" s="1"/>
  <c r="T165" i="6"/>
  <c r="D165" i="6" s="1"/>
  <c r="T164" i="6"/>
  <c r="D164" i="6" s="1"/>
  <c r="T163" i="6"/>
  <c r="D163" i="6" s="1"/>
  <c r="T162" i="6"/>
  <c r="T161" i="6"/>
  <c r="D161" i="6" s="1"/>
  <c r="T160" i="6"/>
  <c r="D160" i="6" s="1"/>
  <c r="T159" i="6"/>
  <c r="T158" i="6"/>
  <c r="T157" i="6"/>
  <c r="D3" i="6"/>
  <c r="D6" i="6" s="1"/>
  <c r="D4" i="6"/>
  <c r="D5" i="6"/>
  <c r="T12" i="6"/>
  <c r="T13" i="6"/>
  <c r="T14" i="6"/>
  <c r="D14" i="6" s="1"/>
  <c r="T15" i="6"/>
  <c r="D15" i="6" s="1"/>
  <c r="T16" i="6"/>
  <c r="D16" i="6" s="1"/>
  <c r="T17" i="6"/>
  <c r="D17" i="6" s="1"/>
  <c r="T18" i="6"/>
  <c r="D18" i="6" s="1"/>
  <c r="T19" i="6"/>
  <c r="D19" i="6" s="1"/>
  <c r="T20" i="6"/>
  <c r="T21" i="6"/>
  <c r="D21" i="6" s="1"/>
  <c r="T22" i="6"/>
  <c r="T23" i="6"/>
  <c r="D23" i="6" s="1"/>
  <c r="T24" i="6"/>
  <c r="D24" i="6" s="1"/>
  <c r="T25" i="6"/>
  <c r="D25" i="6" s="1"/>
  <c r="T26" i="6"/>
  <c r="D26" i="6" s="1"/>
  <c r="T27" i="6"/>
  <c r="D27" i="6" s="1"/>
  <c r="T28" i="6"/>
  <c r="D28" i="6" s="1"/>
  <c r="T29" i="6"/>
  <c r="T30" i="6"/>
  <c r="D30" i="6" s="1"/>
  <c r="T31" i="6"/>
  <c r="D31" i="6" s="1"/>
  <c r="T32" i="6"/>
  <c r="D32" i="6" s="1"/>
  <c r="T33" i="6"/>
  <c r="D33" i="6" s="1"/>
  <c r="T34" i="6"/>
  <c r="D34" i="6" s="1"/>
  <c r="T35" i="6"/>
  <c r="D35" i="6" s="1"/>
  <c r="T36" i="6"/>
  <c r="D36" i="6" s="1"/>
  <c r="T37" i="6"/>
  <c r="T38" i="6"/>
  <c r="D38" i="6" s="1"/>
  <c r="T39" i="6"/>
  <c r="D39" i="6" s="1"/>
  <c r="T40" i="6"/>
  <c r="D40" i="6" s="1"/>
  <c r="T41" i="6"/>
  <c r="D41" i="6" s="1"/>
  <c r="T42" i="6"/>
  <c r="T43" i="6"/>
  <c r="D43" i="6" s="1"/>
  <c r="T44" i="6"/>
  <c r="D44" i="6" s="1"/>
  <c r="T45" i="6"/>
  <c r="T46" i="6"/>
  <c r="D46" i="6" s="1"/>
  <c r="D45" i="6" s="1"/>
  <c r="T47" i="6"/>
  <c r="T48" i="6"/>
  <c r="D48" i="6" s="1"/>
  <c r="T49" i="6"/>
  <c r="D49" i="6" s="1"/>
  <c r="T50" i="6"/>
  <c r="D50" i="6" s="1"/>
  <c r="T51" i="6"/>
  <c r="D51" i="6" s="1"/>
  <c r="T52" i="6"/>
  <c r="T53" i="6"/>
  <c r="D53" i="6" s="1"/>
  <c r="D52" i="6" s="1"/>
  <c r="T54" i="6"/>
  <c r="T55" i="6"/>
  <c r="D55" i="6" s="1"/>
  <c r="D54" i="6" s="1"/>
  <c r="T56" i="6"/>
  <c r="D56" i="6" s="1"/>
  <c r="T57" i="6"/>
  <c r="D57" i="6" s="1"/>
  <c r="T58" i="6"/>
  <c r="D58" i="6" s="1"/>
  <c r="T59" i="6"/>
  <c r="T60" i="6"/>
  <c r="T61" i="6"/>
  <c r="D61" i="6" s="1"/>
  <c r="T62" i="6"/>
  <c r="D62" i="6" s="1"/>
  <c r="T63" i="6"/>
  <c r="D63" i="6" s="1"/>
  <c r="T64" i="6"/>
  <c r="D64" i="6" s="1"/>
  <c r="T65" i="6"/>
  <c r="D65" i="6" s="1"/>
  <c r="T66" i="6"/>
  <c r="D66" i="6" s="1"/>
  <c r="T67" i="6"/>
  <c r="D67" i="6" s="1"/>
  <c r="T68" i="6"/>
  <c r="D68" i="6" s="1"/>
  <c r="T69" i="6"/>
  <c r="D69" i="6" s="1"/>
  <c r="T70" i="6"/>
  <c r="D70" i="6" s="1"/>
  <c r="T71" i="6"/>
  <c r="D71" i="6" s="1"/>
  <c r="T72" i="6"/>
  <c r="D72" i="6" s="1"/>
  <c r="T73" i="6"/>
  <c r="D73" i="6" s="1"/>
  <c r="T74" i="6"/>
  <c r="D74" i="6" s="1"/>
  <c r="T75" i="6"/>
  <c r="D75" i="6" s="1"/>
  <c r="T76" i="6"/>
  <c r="D76" i="6" s="1"/>
  <c r="T77" i="6"/>
  <c r="T78" i="6"/>
  <c r="D78" i="6" s="1"/>
  <c r="T79" i="6"/>
  <c r="T80" i="6"/>
  <c r="D80" i="6" s="1"/>
  <c r="T81" i="6"/>
  <c r="D81" i="6" s="1"/>
  <c r="T82" i="6"/>
  <c r="D82" i="6" s="1"/>
  <c r="T83" i="6"/>
  <c r="D83" i="6" s="1"/>
  <c r="T84" i="6"/>
  <c r="D84" i="6" s="1"/>
  <c r="T85" i="6"/>
  <c r="D85" i="6" s="1"/>
  <c r="T86" i="6"/>
  <c r="T87" i="6"/>
  <c r="T88" i="6"/>
  <c r="T89" i="6"/>
  <c r="D89" i="6" s="1"/>
  <c r="D88" i="6" s="1"/>
  <c r="T90" i="6"/>
  <c r="D90" i="6" s="1"/>
  <c r="T91" i="6"/>
  <c r="T92" i="6"/>
  <c r="D92" i="6" s="1"/>
  <c r="T93" i="6"/>
  <c r="T94" i="6"/>
  <c r="D94" i="6" s="1"/>
  <c r="T95" i="6"/>
  <c r="D95" i="6" s="1"/>
  <c r="T96" i="6"/>
  <c r="T97" i="6"/>
  <c r="D97" i="6" s="1"/>
  <c r="T98" i="6"/>
  <c r="D98" i="6" s="1"/>
  <c r="T99" i="6"/>
  <c r="D99" i="6" s="1"/>
  <c r="T100" i="6"/>
  <c r="D100" i="6" s="1"/>
  <c r="T101" i="6"/>
  <c r="T102" i="6"/>
  <c r="T103" i="6"/>
  <c r="D103" i="6" s="1"/>
  <c r="D102" i="6" s="1"/>
  <c r="T104" i="6"/>
  <c r="D104" i="6" s="1"/>
  <c r="T105" i="6"/>
  <c r="D105" i="6" s="1"/>
  <c r="T106" i="6"/>
  <c r="D106" i="6" s="1"/>
  <c r="T107" i="6"/>
  <c r="D107" i="6" s="1"/>
  <c r="T108" i="6"/>
  <c r="D108" i="6" s="1"/>
  <c r="T109" i="6"/>
  <c r="T110" i="6"/>
  <c r="T111" i="6"/>
  <c r="D111" i="6" s="1"/>
  <c r="D110" i="6" s="1"/>
  <c r="T112" i="6"/>
  <c r="D112" i="6" s="1"/>
  <c r="T113" i="6"/>
  <c r="D113" i="6" s="1"/>
  <c r="T114" i="6"/>
  <c r="T115" i="6"/>
  <c r="D115" i="6" s="1"/>
  <c r="D114" i="6" s="1"/>
  <c r="T116" i="6"/>
  <c r="T117" i="6"/>
  <c r="D117" i="6" s="1"/>
  <c r="T118" i="6"/>
  <c r="D118" i="6" s="1"/>
  <c r="T119" i="6"/>
  <c r="D119" i="6" s="1"/>
  <c r="T120" i="6"/>
  <c r="D120" i="6" s="1"/>
  <c r="T121" i="6"/>
  <c r="T122" i="6"/>
  <c r="D122" i="6" s="1"/>
  <c r="T123" i="6"/>
  <c r="T124" i="6"/>
  <c r="D124" i="6" s="1"/>
  <c r="T125" i="6"/>
  <c r="D125" i="6" s="1"/>
  <c r="T126" i="6"/>
  <c r="T127" i="6"/>
  <c r="D127" i="6" s="1"/>
  <c r="T128" i="6"/>
  <c r="D128" i="6" s="1"/>
  <c r="T129" i="6"/>
  <c r="T130" i="6"/>
  <c r="D130" i="6" s="1"/>
  <c r="T131" i="6"/>
  <c r="T132" i="6"/>
  <c r="D132" i="6" s="1"/>
  <c r="T133" i="6"/>
  <c r="D133" i="6" s="1"/>
  <c r="T134" i="6"/>
  <c r="T135" i="6"/>
  <c r="T136" i="6"/>
  <c r="D136" i="6" s="1"/>
  <c r="T137" i="6"/>
  <c r="T138" i="6"/>
  <c r="D138" i="6" s="1"/>
  <c r="T139" i="6"/>
  <c r="D139" i="6" s="1"/>
  <c r="T140" i="6"/>
  <c r="T141" i="6"/>
  <c r="D141" i="6" s="1"/>
  <c r="T142" i="6"/>
  <c r="D142" i="6" s="1"/>
  <c r="T143" i="6"/>
  <c r="D143" i="6" s="1"/>
  <c r="T144" i="6"/>
  <c r="D144" i="6" s="1"/>
  <c r="T145" i="6"/>
  <c r="D145" i="6" s="1"/>
  <c r="T146" i="6"/>
  <c r="D146" i="6" s="1"/>
  <c r="T147" i="6"/>
  <c r="T148" i="6"/>
  <c r="D148" i="6" s="1"/>
  <c r="T149" i="6"/>
  <c r="D149" i="6" s="1"/>
  <c r="T150" i="6"/>
  <c r="T151" i="6"/>
  <c r="D151" i="6" s="1"/>
  <c r="T152" i="6"/>
  <c r="D152" i="6" s="1"/>
  <c r="T153" i="6"/>
  <c r="D153" i="6" s="1"/>
  <c r="T154" i="6"/>
  <c r="D154" i="6" s="1"/>
  <c r="T155" i="6"/>
  <c r="D155" i="6" s="1"/>
  <c r="T11" i="6"/>
  <c r="F355" i="6" l="1"/>
  <c r="E134" i="6"/>
  <c r="F488" i="6"/>
  <c r="D193" i="6"/>
  <c r="E13" i="6"/>
  <c r="E517" i="6"/>
  <c r="D200" i="6"/>
  <c r="D225" i="6"/>
  <c r="F11" i="6"/>
  <c r="E147" i="6"/>
  <c r="F157" i="6"/>
  <c r="D93" i="6"/>
  <c r="E417" i="6"/>
  <c r="D42" i="6"/>
  <c r="D489" i="6"/>
  <c r="D87" i="6"/>
  <c r="E489" i="6"/>
  <c r="D135" i="6"/>
  <c r="D79" i="6"/>
  <c r="E295" i="6"/>
  <c r="D517" i="6"/>
  <c r="D150" i="6"/>
  <c r="D147" i="6" s="1"/>
  <c r="E457" i="6"/>
  <c r="E269" i="6"/>
  <c r="E158" i="6"/>
  <c r="E86" i="6"/>
  <c r="E228" i="6"/>
  <c r="E59" i="6"/>
  <c r="E12" i="6"/>
  <c r="D197" i="6"/>
  <c r="D77" i="6"/>
  <c r="D190" i="6"/>
  <c r="D123" i="6"/>
  <c r="D121" i="6" s="1"/>
  <c r="D91" i="6"/>
  <c r="D137" i="6"/>
  <c r="D96" i="6"/>
  <c r="D477" i="6"/>
  <c r="D474" i="6" s="1"/>
  <c r="D287" i="6"/>
  <c r="D458" i="6"/>
  <c r="D451" i="6"/>
  <c r="D450" i="6" s="1"/>
  <c r="D20" i="6"/>
  <c r="D13" i="6" s="1"/>
  <c r="D126" i="6"/>
  <c r="D131" i="6"/>
  <c r="D129" i="6" s="1"/>
  <c r="D47" i="6"/>
  <c r="D181" i="6"/>
  <c r="D140" i="6"/>
  <c r="D101" i="6"/>
  <c r="D281" i="6"/>
  <c r="D109" i="6"/>
  <c r="D273" i="6"/>
  <c r="D272" i="6" s="1"/>
  <c r="D356" i="6"/>
  <c r="D162" i="6"/>
  <c r="D404" i="6"/>
  <c r="D403" i="6" s="1"/>
  <c r="D419" i="6"/>
  <c r="D417" i="6" s="1"/>
  <c r="D394" i="6"/>
  <c r="D372" i="6"/>
  <c r="D361" i="6"/>
  <c r="D159" i="6"/>
  <c r="D188" i="6"/>
  <c r="D195" i="6"/>
  <c r="D229" i="6"/>
  <c r="D295" i="6"/>
  <c r="D259" i="6"/>
  <c r="D336" i="6"/>
  <c r="D215" i="6"/>
  <c r="D316" i="6"/>
  <c r="D243" i="6"/>
  <c r="D29" i="6"/>
  <c r="D22" i="6" s="1"/>
  <c r="D60" i="6"/>
  <c r="D37" i="6"/>
  <c r="D116" i="6"/>
  <c r="F516" i="7"/>
  <c r="E516" i="7"/>
  <c r="H515" i="7"/>
  <c r="G515" i="7"/>
  <c r="H514" i="7"/>
  <c r="G514" i="7"/>
  <c r="H513" i="7"/>
  <c r="G513" i="7"/>
  <c r="H512" i="7"/>
  <c r="G512" i="7"/>
  <c r="H511" i="7"/>
  <c r="G511" i="7"/>
  <c r="H510" i="7"/>
  <c r="G510" i="7"/>
  <c r="H509" i="7"/>
  <c r="G509" i="7"/>
  <c r="H508" i="7"/>
  <c r="G508" i="7"/>
  <c r="H507" i="7"/>
  <c r="G507" i="7"/>
  <c r="H506" i="7"/>
  <c r="G506" i="7"/>
  <c r="H505" i="7"/>
  <c r="G505" i="7"/>
  <c r="H504" i="7"/>
  <c r="G504" i="7"/>
  <c r="H503" i="7"/>
  <c r="G503" i="7"/>
  <c r="H502" i="7"/>
  <c r="G502" i="7"/>
  <c r="H501" i="7"/>
  <c r="G501" i="7"/>
  <c r="H500" i="7"/>
  <c r="G500" i="7"/>
  <c r="H499" i="7"/>
  <c r="G499" i="7"/>
  <c r="H498" i="7"/>
  <c r="G498" i="7"/>
  <c r="H497" i="7"/>
  <c r="G497" i="7"/>
  <c r="H496" i="7"/>
  <c r="G496" i="7"/>
  <c r="H495" i="7"/>
  <c r="G495" i="7"/>
  <c r="H494" i="7"/>
  <c r="G494" i="7"/>
  <c r="H493" i="7"/>
  <c r="G493" i="7"/>
  <c r="H492" i="7"/>
  <c r="G492" i="7"/>
  <c r="H491" i="7"/>
  <c r="G491" i="7"/>
  <c r="H490" i="7"/>
  <c r="G490" i="7"/>
  <c r="H489" i="7"/>
  <c r="G489" i="7"/>
  <c r="H488" i="7"/>
  <c r="G488" i="7"/>
  <c r="H487" i="7"/>
  <c r="G487" i="7"/>
  <c r="H486" i="7"/>
  <c r="G486" i="7"/>
  <c r="H485" i="7"/>
  <c r="G485" i="7"/>
  <c r="H484" i="7"/>
  <c r="G484" i="7"/>
  <c r="H483" i="7"/>
  <c r="G483" i="7"/>
  <c r="H482" i="7"/>
  <c r="G482" i="7"/>
  <c r="H481" i="7"/>
  <c r="G481" i="7"/>
  <c r="H480" i="7"/>
  <c r="G480" i="7"/>
  <c r="H479" i="7"/>
  <c r="G479" i="7"/>
  <c r="H478" i="7"/>
  <c r="G478" i="7"/>
  <c r="H477" i="7"/>
  <c r="G477" i="7"/>
  <c r="H476" i="7"/>
  <c r="G476" i="7"/>
  <c r="H475" i="7"/>
  <c r="G475" i="7"/>
  <c r="H474" i="7"/>
  <c r="G474" i="7"/>
  <c r="H473" i="7"/>
  <c r="G473" i="7"/>
  <c r="H472" i="7"/>
  <c r="G472" i="7"/>
  <c r="H471" i="7"/>
  <c r="G471" i="7"/>
  <c r="H470" i="7"/>
  <c r="G470" i="7"/>
  <c r="H469" i="7"/>
  <c r="G469" i="7"/>
  <c r="H468" i="7"/>
  <c r="G468" i="7"/>
  <c r="H467" i="7"/>
  <c r="G467" i="7"/>
  <c r="H466" i="7"/>
  <c r="G466" i="7"/>
  <c r="H465" i="7"/>
  <c r="G465" i="7"/>
  <c r="H464" i="7"/>
  <c r="G464" i="7"/>
  <c r="H463" i="7"/>
  <c r="G463" i="7"/>
  <c r="H462" i="7"/>
  <c r="G462" i="7"/>
  <c r="H461" i="7"/>
  <c r="G461" i="7"/>
  <c r="H460" i="7"/>
  <c r="G460" i="7"/>
  <c r="H459" i="7"/>
  <c r="G459" i="7"/>
  <c r="H458" i="7"/>
  <c r="G458" i="7"/>
  <c r="H457" i="7"/>
  <c r="G457" i="7"/>
  <c r="H456" i="7"/>
  <c r="G456" i="7"/>
  <c r="H455" i="7"/>
  <c r="G455" i="7"/>
  <c r="H454" i="7"/>
  <c r="G454" i="7"/>
  <c r="H453" i="7"/>
  <c r="G453" i="7"/>
  <c r="H452" i="7"/>
  <c r="G452" i="7"/>
  <c r="H451" i="7"/>
  <c r="G451" i="7"/>
  <c r="H450" i="7"/>
  <c r="G450" i="7"/>
  <c r="H449" i="7"/>
  <c r="G449" i="7"/>
  <c r="H448" i="7"/>
  <c r="G448" i="7"/>
  <c r="H447" i="7"/>
  <c r="G447" i="7"/>
  <c r="H446" i="7"/>
  <c r="G446" i="7"/>
  <c r="H445" i="7"/>
  <c r="G445" i="7"/>
  <c r="H444" i="7"/>
  <c r="G444" i="7"/>
  <c r="H443" i="7"/>
  <c r="G443" i="7"/>
  <c r="H442" i="7"/>
  <c r="G442" i="7"/>
  <c r="H441" i="7"/>
  <c r="G441" i="7"/>
  <c r="H440" i="7"/>
  <c r="G440" i="7"/>
  <c r="H439" i="7"/>
  <c r="G439" i="7"/>
  <c r="H438" i="7"/>
  <c r="G438" i="7"/>
  <c r="H437" i="7"/>
  <c r="G437" i="7"/>
  <c r="H436" i="7"/>
  <c r="G436" i="7"/>
  <c r="H435" i="7"/>
  <c r="G435" i="7"/>
  <c r="H434" i="7"/>
  <c r="G434" i="7"/>
  <c r="H433" i="7"/>
  <c r="G433" i="7"/>
  <c r="H432" i="7"/>
  <c r="G432" i="7"/>
  <c r="H431" i="7"/>
  <c r="G431" i="7"/>
  <c r="H430" i="7"/>
  <c r="G430" i="7"/>
  <c r="H429" i="7"/>
  <c r="G429" i="7"/>
  <c r="H428" i="7"/>
  <c r="G428" i="7"/>
  <c r="H427" i="7"/>
  <c r="G427" i="7"/>
  <c r="H426" i="7"/>
  <c r="G426" i="7"/>
  <c r="H425" i="7"/>
  <c r="G425" i="7"/>
  <c r="H424" i="7"/>
  <c r="G424" i="7"/>
  <c r="H423" i="7"/>
  <c r="G423" i="7"/>
  <c r="H422" i="7"/>
  <c r="G422" i="7"/>
  <c r="H421" i="7"/>
  <c r="G421" i="7"/>
  <c r="H420" i="7"/>
  <c r="G420" i="7"/>
  <c r="H419" i="7"/>
  <c r="G419" i="7"/>
  <c r="H418" i="7"/>
  <c r="G418" i="7"/>
  <c r="H417" i="7"/>
  <c r="G417" i="7"/>
  <c r="H416" i="7"/>
  <c r="G416" i="7"/>
  <c r="H415" i="7"/>
  <c r="G415" i="7"/>
  <c r="H414" i="7"/>
  <c r="G414" i="7"/>
  <c r="H413" i="7"/>
  <c r="G413" i="7"/>
  <c r="H412" i="7"/>
  <c r="G412" i="7"/>
  <c r="H411" i="7"/>
  <c r="G411" i="7"/>
  <c r="H410" i="7"/>
  <c r="G410" i="7"/>
  <c r="H409" i="7"/>
  <c r="G409" i="7"/>
  <c r="H408" i="7"/>
  <c r="G408" i="7"/>
  <c r="H407" i="7"/>
  <c r="G407" i="7"/>
  <c r="H406" i="7"/>
  <c r="G406" i="7"/>
  <c r="H405" i="7"/>
  <c r="G405" i="7"/>
  <c r="H404" i="7"/>
  <c r="G404" i="7"/>
  <c r="H403" i="7"/>
  <c r="G403" i="7"/>
  <c r="H402" i="7"/>
  <c r="G402" i="7"/>
  <c r="H401" i="7"/>
  <c r="G401" i="7"/>
  <c r="H400" i="7"/>
  <c r="G400" i="7"/>
  <c r="H399" i="7"/>
  <c r="G399" i="7"/>
  <c r="H398" i="7"/>
  <c r="G398" i="7"/>
  <c r="H397" i="7"/>
  <c r="G397" i="7"/>
  <c r="H396" i="7"/>
  <c r="G396" i="7"/>
  <c r="H395" i="7"/>
  <c r="G395" i="7"/>
  <c r="H394" i="7"/>
  <c r="G394" i="7"/>
  <c r="H393" i="7"/>
  <c r="G393" i="7"/>
  <c r="H392" i="7"/>
  <c r="G392" i="7"/>
  <c r="H391" i="7"/>
  <c r="G391" i="7"/>
  <c r="H390" i="7"/>
  <c r="G390" i="7"/>
  <c r="H389" i="7"/>
  <c r="G389" i="7"/>
  <c r="H388" i="7"/>
  <c r="G388" i="7"/>
  <c r="H387" i="7"/>
  <c r="G387" i="7"/>
  <c r="H386" i="7"/>
  <c r="G386" i="7"/>
  <c r="H385" i="7"/>
  <c r="G385" i="7"/>
  <c r="H384" i="7"/>
  <c r="G384" i="7"/>
  <c r="H383" i="7"/>
  <c r="G383" i="7"/>
  <c r="H382" i="7"/>
  <c r="G382" i="7"/>
  <c r="H381" i="7"/>
  <c r="G381" i="7"/>
  <c r="H380" i="7"/>
  <c r="G380" i="7"/>
  <c r="H379" i="7"/>
  <c r="G379" i="7"/>
  <c r="H378" i="7"/>
  <c r="G378" i="7"/>
  <c r="H377" i="7"/>
  <c r="G377" i="7"/>
  <c r="H376" i="7"/>
  <c r="G376" i="7"/>
  <c r="H375" i="7"/>
  <c r="G375" i="7"/>
  <c r="H374" i="7"/>
  <c r="G374" i="7"/>
  <c r="H373" i="7"/>
  <c r="G373" i="7"/>
  <c r="H372" i="7"/>
  <c r="G372" i="7"/>
  <c r="H371" i="7"/>
  <c r="G371" i="7"/>
  <c r="H370" i="7"/>
  <c r="G370" i="7"/>
  <c r="H369" i="7"/>
  <c r="G369" i="7"/>
  <c r="H368" i="7"/>
  <c r="G368" i="7"/>
  <c r="H367" i="7"/>
  <c r="G367" i="7"/>
  <c r="H366" i="7"/>
  <c r="G366" i="7"/>
  <c r="H365" i="7"/>
  <c r="G365" i="7"/>
  <c r="H364" i="7"/>
  <c r="G364" i="7"/>
  <c r="H363" i="7"/>
  <c r="G363" i="7"/>
  <c r="H362" i="7"/>
  <c r="G362" i="7"/>
  <c r="H361" i="7"/>
  <c r="G361" i="7"/>
  <c r="H360" i="7"/>
  <c r="G360" i="7"/>
  <c r="H359" i="7"/>
  <c r="G359" i="7"/>
  <c r="H358" i="7"/>
  <c r="G358" i="7"/>
  <c r="H357" i="7"/>
  <c r="G357" i="7"/>
  <c r="H356" i="7"/>
  <c r="G356" i="7"/>
  <c r="H355" i="7"/>
  <c r="G355" i="7"/>
  <c r="H354" i="7"/>
  <c r="G354" i="7"/>
  <c r="H353" i="7"/>
  <c r="G353" i="7"/>
  <c r="H352" i="7"/>
  <c r="G352" i="7"/>
  <c r="H351" i="7"/>
  <c r="G351" i="7"/>
  <c r="H350" i="7"/>
  <c r="G350" i="7"/>
  <c r="H349" i="7"/>
  <c r="G349" i="7"/>
  <c r="H348" i="7"/>
  <c r="G348" i="7"/>
  <c r="H347" i="7"/>
  <c r="G347" i="7"/>
  <c r="H346" i="7"/>
  <c r="G346" i="7"/>
  <c r="H345" i="7"/>
  <c r="G345" i="7"/>
  <c r="H344" i="7"/>
  <c r="G344" i="7"/>
  <c r="H343" i="7"/>
  <c r="G343" i="7"/>
  <c r="H342" i="7"/>
  <c r="G342" i="7"/>
  <c r="H341" i="7"/>
  <c r="G341" i="7"/>
  <c r="H340" i="7"/>
  <c r="G340" i="7"/>
  <c r="H339" i="7"/>
  <c r="G339" i="7"/>
  <c r="H338" i="7"/>
  <c r="G338" i="7"/>
  <c r="H337" i="7"/>
  <c r="G337" i="7"/>
  <c r="H336" i="7"/>
  <c r="G336" i="7"/>
  <c r="H335" i="7"/>
  <c r="G335" i="7"/>
  <c r="H334" i="7"/>
  <c r="G334" i="7"/>
  <c r="H333" i="7"/>
  <c r="G333" i="7"/>
  <c r="H332" i="7"/>
  <c r="G332" i="7"/>
  <c r="H331" i="7"/>
  <c r="G331" i="7"/>
  <c r="H330" i="7"/>
  <c r="G330" i="7"/>
  <c r="H329" i="7"/>
  <c r="G329" i="7"/>
  <c r="H328" i="7"/>
  <c r="G328" i="7"/>
  <c r="H327" i="7"/>
  <c r="G327" i="7"/>
  <c r="H326" i="7"/>
  <c r="G326" i="7"/>
  <c r="H325" i="7"/>
  <c r="G325" i="7"/>
  <c r="H324" i="7"/>
  <c r="G324" i="7"/>
  <c r="H323" i="7"/>
  <c r="G323" i="7"/>
  <c r="H322" i="7"/>
  <c r="G322" i="7"/>
  <c r="H321" i="7"/>
  <c r="G321" i="7"/>
  <c r="H320" i="7"/>
  <c r="G320" i="7"/>
  <c r="H319" i="7"/>
  <c r="G319" i="7"/>
  <c r="H318" i="7"/>
  <c r="G318" i="7"/>
  <c r="H317" i="7"/>
  <c r="G317" i="7"/>
  <c r="H316" i="7"/>
  <c r="G316" i="7"/>
  <c r="H315" i="7"/>
  <c r="G315" i="7"/>
  <c r="H314" i="7"/>
  <c r="G314" i="7"/>
  <c r="H313" i="7"/>
  <c r="G313" i="7"/>
  <c r="H312" i="7"/>
  <c r="G312" i="7"/>
  <c r="H311" i="7"/>
  <c r="G311" i="7"/>
  <c r="H310" i="7"/>
  <c r="G310" i="7"/>
  <c r="H309" i="7"/>
  <c r="G309" i="7"/>
  <c r="H308" i="7"/>
  <c r="G308" i="7"/>
  <c r="H307" i="7"/>
  <c r="G307" i="7"/>
  <c r="H306" i="7"/>
  <c r="G306" i="7"/>
  <c r="H305" i="7"/>
  <c r="G305" i="7"/>
  <c r="H304" i="7"/>
  <c r="G304" i="7"/>
  <c r="H303" i="7"/>
  <c r="G303" i="7"/>
  <c r="H302" i="7"/>
  <c r="G302" i="7"/>
  <c r="H301" i="7"/>
  <c r="G301" i="7"/>
  <c r="H300" i="7"/>
  <c r="G300" i="7"/>
  <c r="H299" i="7"/>
  <c r="G299" i="7"/>
  <c r="H298" i="7"/>
  <c r="G298" i="7"/>
  <c r="H297" i="7"/>
  <c r="G297" i="7"/>
  <c r="H296" i="7"/>
  <c r="G296" i="7"/>
  <c r="H295" i="7"/>
  <c r="G295" i="7"/>
  <c r="H294" i="7"/>
  <c r="G294" i="7"/>
  <c r="H293" i="7"/>
  <c r="G293" i="7"/>
  <c r="H292" i="7"/>
  <c r="G292" i="7"/>
  <c r="H291" i="7"/>
  <c r="G291" i="7"/>
  <c r="H290" i="7"/>
  <c r="G290" i="7"/>
  <c r="H289" i="7"/>
  <c r="G289" i="7"/>
  <c r="H288" i="7"/>
  <c r="G288" i="7"/>
  <c r="H287" i="7"/>
  <c r="G287" i="7"/>
  <c r="H286" i="7"/>
  <c r="G286" i="7"/>
  <c r="H285" i="7"/>
  <c r="G285" i="7"/>
  <c r="H284" i="7"/>
  <c r="G284" i="7"/>
  <c r="H283" i="7"/>
  <c r="G283" i="7"/>
  <c r="H282" i="7"/>
  <c r="G282" i="7"/>
  <c r="H281" i="7"/>
  <c r="G281" i="7"/>
  <c r="H280" i="7"/>
  <c r="G280" i="7"/>
  <c r="H279" i="7"/>
  <c r="G279" i="7"/>
  <c r="H278" i="7"/>
  <c r="G278" i="7"/>
  <c r="H277" i="7"/>
  <c r="G277" i="7"/>
  <c r="H276" i="7"/>
  <c r="G276" i="7"/>
  <c r="H275" i="7"/>
  <c r="G275" i="7"/>
  <c r="H274" i="7"/>
  <c r="G274" i="7"/>
  <c r="H273" i="7"/>
  <c r="G273" i="7"/>
  <c r="H272" i="7"/>
  <c r="G272" i="7"/>
  <c r="H271" i="7"/>
  <c r="G271" i="7"/>
  <c r="H270" i="7"/>
  <c r="G270" i="7"/>
  <c r="H269" i="7"/>
  <c r="G269" i="7"/>
  <c r="H268" i="7"/>
  <c r="G268" i="7"/>
  <c r="H267" i="7"/>
  <c r="G267" i="7"/>
  <c r="H266" i="7"/>
  <c r="G266" i="7"/>
  <c r="H265" i="7"/>
  <c r="G265" i="7"/>
  <c r="H264" i="7"/>
  <c r="G264" i="7"/>
  <c r="H263" i="7"/>
  <c r="G263" i="7"/>
  <c r="H262" i="7"/>
  <c r="G262" i="7"/>
  <c r="H261" i="7"/>
  <c r="G261" i="7"/>
  <c r="H260" i="7"/>
  <c r="G260" i="7"/>
  <c r="H259" i="7"/>
  <c r="G259" i="7"/>
  <c r="H258" i="7"/>
  <c r="G258" i="7"/>
  <c r="H257" i="7"/>
  <c r="G257" i="7"/>
  <c r="H256" i="7"/>
  <c r="G256" i="7"/>
  <c r="H255" i="7"/>
  <c r="G255" i="7"/>
  <c r="H254" i="7"/>
  <c r="G254" i="7"/>
  <c r="H253" i="7"/>
  <c r="G253" i="7"/>
  <c r="H252" i="7"/>
  <c r="G252" i="7"/>
  <c r="H251" i="7"/>
  <c r="G251" i="7"/>
  <c r="H250" i="7"/>
  <c r="G250" i="7"/>
  <c r="H249" i="7"/>
  <c r="G249" i="7"/>
  <c r="H248" i="7"/>
  <c r="G248" i="7"/>
  <c r="H247" i="7"/>
  <c r="G247" i="7"/>
  <c r="H246" i="7"/>
  <c r="G246" i="7"/>
  <c r="H245" i="7"/>
  <c r="G245" i="7"/>
  <c r="H244" i="7"/>
  <c r="G244" i="7"/>
  <c r="H243" i="7"/>
  <c r="G243" i="7"/>
  <c r="H242" i="7"/>
  <c r="G242" i="7"/>
  <c r="H241" i="7"/>
  <c r="G241" i="7"/>
  <c r="H240" i="7"/>
  <c r="G240" i="7"/>
  <c r="H239" i="7"/>
  <c r="G239" i="7"/>
  <c r="H238" i="7"/>
  <c r="G238" i="7"/>
  <c r="H237" i="7"/>
  <c r="G237" i="7"/>
  <c r="H236" i="7"/>
  <c r="G236" i="7"/>
  <c r="H235" i="7"/>
  <c r="G235" i="7"/>
  <c r="H234" i="7"/>
  <c r="G234" i="7"/>
  <c r="H233" i="7"/>
  <c r="G233" i="7"/>
  <c r="H232" i="7"/>
  <c r="G232" i="7"/>
  <c r="H231" i="7"/>
  <c r="G231" i="7"/>
  <c r="H230" i="7"/>
  <c r="G230" i="7"/>
  <c r="H229" i="7"/>
  <c r="G229" i="7"/>
  <c r="H228" i="7"/>
  <c r="G228" i="7"/>
  <c r="H227" i="7"/>
  <c r="G227" i="7"/>
  <c r="H226" i="7"/>
  <c r="G226" i="7"/>
  <c r="H225" i="7"/>
  <c r="G225" i="7"/>
  <c r="H224" i="7"/>
  <c r="G224" i="7"/>
  <c r="H223" i="7"/>
  <c r="G223" i="7"/>
  <c r="H222" i="7"/>
  <c r="G222" i="7"/>
  <c r="H221" i="7"/>
  <c r="G221" i="7"/>
  <c r="H220" i="7"/>
  <c r="G220" i="7"/>
  <c r="H219" i="7"/>
  <c r="G219" i="7"/>
  <c r="H218" i="7"/>
  <c r="G218" i="7"/>
  <c r="H217" i="7"/>
  <c r="G217" i="7"/>
  <c r="H216" i="7"/>
  <c r="G216" i="7"/>
  <c r="H215" i="7"/>
  <c r="G215" i="7"/>
  <c r="H214" i="7"/>
  <c r="G214" i="7"/>
  <c r="H213" i="7"/>
  <c r="G213" i="7"/>
  <c r="H212" i="7"/>
  <c r="G212" i="7"/>
  <c r="H211" i="7"/>
  <c r="G211" i="7"/>
  <c r="H210" i="7"/>
  <c r="G210" i="7"/>
  <c r="H209" i="7"/>
  <c r="G209" i="7"/>
  <c r="H208" i="7"/>
  <c r="G208" i="7"/>
  <c r="H207" i="7"/>
  <c r="G207" i="7"/>
  <c r="H206" i="7"/>
  <c r="G206" i="7"/>
  <c r="H205" i="7"/>
  <c r="G205" i="7"/>
  <c r="H204" i="7"/>
  <c r="G204" i="7"/>
  <c r="H203" i="7"/>
  <c r="G203" i="7"/>
  <c r="H202" i="7"/>
  <c r="G202" i="7"/>
  <c r="H201" i="7"/>
  <c r="G201" i="7"/>
  <c r="H200" i="7"/>
  <c r="G200" i="7"/>
  <c r="H199" i="7"/>
  <c r="G199" i="7"/>
  <c r="H198" i="7"/>
  <c r="G198" i="7"/>
  <c r="H197" i="7"/>
  <c r="G197" i="7"/>
  <c r="H196" i="7"/>
  <c r="G196" i="7"/>
  <c r="H195" i="7"/>
  <c r="G195" i="7"/>
  <c r="H194" i="7"/>
  <c r="G194" i="7"/>
  <c r="H193" i="7"/>
  <c r="G193" i="7"/>
  <c r="H192" i="7"/>
  <c r="G192" i="7"/>
  <c r="H191" i="7"/>
  <c r="G191" i="7"/>
  <c r="H190" i="7"/>
  <c r="G190" i="7"/>
  <c r="H189" i="7"/>
  <c r="G189" i="7"/>
  <c r="H188" i="7"/>
  <c r="G188" i="7"/>
  <c r="H187" i="7"/>
  <c r="G187" i="7"/>
  <c r="H186" i="7"/>
  <c r="G186" i="7"/>
  <c r="H185" i="7"/>
  <c r="G185" i="7"/>
  <c r="H184" i="7"/>
  <c r="G184" i="7"/>
  <c r="H183" i="7"/>
  <c r="G183" i="7"/>
  <c r="H182" i="7"/>
  <c r="G182" i="7"/>
  <c r="H181" i="7"/>
  <c r="G181" i="7"/>
  <c r="H180" i="7"/>
  <c r="G180" i="7"/>
  <c r="H179" i="7"/>
  <c r="G179" i="7"/>
  <c r="H178" i="7"/>
  <c r="G178" i="7"/>
  <c r="H177" i="7"/>
  <c r="G177" i="7"/>
  <c r="H176" i="7"/>
  <c r="G176" i="7"/>
  <c r="H175" i="7"/>
  <c r="G175" i="7"/>
  <c r="H174" i="7"/>
  <c r="G174" i="7"/>
  <c r="H173" i="7"/>
  <c r="G173" i="7"/>
  <c r="H172" i="7"/>
  <c r="G172" i="7"/>
  <c r="H171" i="7"/>
  <c r="G171" i="7"/>
  <c r="H170" i="7"/>
  <c r="G170" i="7"/>
  <c r="H169" i="7"/>
  <c r="G169" i="7"/>
  <c r="H168" i="7"/>
  <c r="G168" i="7"/>
  <c r="H167" i="7"/>
  <c r="G167" i="7"/>
  <c r="H166" i="7"/>
  <c r="G166" i="7"/>
  <c r="H165" i="7"/>
  <c r="G165" i="7"/>
  <c r="H164" i="7"/>
  <c r="G164" i="7"/>
  <c r="H163" i="7"/>
  <c r="G163" i="7"/>
  <c r="H162" i="7"/>
  <c r="G162" i="7"/>
  <c r="H161" i="7"/>
  <c r="G161" i="7"/>
  <c r="H160" i="7"/>
  <c r="G160" i="7"/>
  <c r="H159" i="7"/>
  <c r="G159" i="7"/>
  <c r="H158" i="7"/>
  <c r="G158" i="7"/>
  <c r="H157" i="7"/>
  <c r="G157" i="7"/>
  <c r="H156" i="7"/>
  <c r="G156" i="7"/>
  <c r="H155" i="7"/>
  <c r="G155" i="7"/>
  <c r="H154" i="7"/>
  <c r="G154" i="7"/>
  <c r="H153" i="7"/>
  <c r="G153" i="7"/>
  <c r="H152" i="7"/>
  <c r="G152" i="7"/>
  <c r="H151" i="7"/>
  <c r="G151" i="7"/>
  <c r="H150" i="7"/>
  <c r="G150" i="7"/>
  <c r="H149" i="7"/>
  <c r="G149" i="7"/>
  <c r="H148" i="7"/>
  <c r="G148" i="7"/>
  <c r="H147" i="7"/>
  <c r="G147" i="7"/>
  <c r="H146" i="7"/>
  <c r="G146" i="7"/>
  <c r="H145" i="7"/>
  <c r="G145" i="7"/>
  <c r="H144" i="7"/>
  <c r="G144" i="7"/>
  <c r="H143" i="7"/>
  <c r="G143" i="7"/>
  <c r="H142" i="7"/>
  <c r="G142" i="7"/>
  <c r="H141" i="7"/>
  <c r="G141" i="7"/>
  <c r="H140" i="7"/>
  <c r="G140" i="7"/>
  <c r="H139" i="7"/>
  <c r="G139" i="7"/>
  <c r="H138" i="7"/>
  <c r="G138" i="7"/>
  <c r="H137" i="7"/>
  <c r="G137" i="7"/>
  <c r="H136" i="7"/>
  <c r="G136" i="7"/>
  <c r="H135" i="7"/>
  <c r="G135" i="7"/>
  <c r="H134" i="7"/>
  <c r="G134" i="7"/>
  <c r="H133" i="7"/>
  <c r="G133" i="7"/>
  <c r="H132" i="7"/>
  <c r="G132" i="7"/>
  <c r="H131" i="7"/>
  <c r="G131" i="7"/>
  <c r="H130" i="7"/>
  <c r="G130" i="7"/>
  <c r="H129" i="7"/>
  <c r="G129" i="7"/>
  <c r="H128" i="7"/>
  <c r="G128" i="7"/>
  <c r="H127" i="7"/>
  <c r="G127" i="7"/>
  <c r="H126" i="7"/>
  <c r="G126" i="7"/>
  <c r="H125" i="7"/>
  <c r="G125" i="7"/>
  <c r="H124" i="7"/>
  <c r="G124" i="7"/>
  <c r="H123" i="7"/>
  <c r="G123" i="7"/>
  <c r="H122" i="7"/>
  <c r="G122" i="7"/>
  <c r="H121" i="7"/>
  <c r="G121" i="7"/>
  <c r="H120" i="7"/>
  <c r="G120" i="7"/>
  <c r="H119" i="7"/>
  <c r="G119" i="7"/>
  <c r="H118" i="7"/>
  <c r="G118" i="7"/>
  <c r="H117" i="7"/>
  <c r="G117" i="7"/>
  <c r="H116" i="7"/>
  <c r="G116" i="7"/>
  <c r="H115" i="7"/>
  <c r="G115" i="7"/>
  <c r="H114" i="7"/>
  <c r="G114" i="7"/>
  <c r="H113" i="7"/>
  <c r="G113" i="7"/>
  <c r="H112" i="7"/>
  <c r="G112" i="7"/>
  <c r="H111" i="7"/>
  <c r="G111" i="7"/>
  <c r="H110" i="7"/>
  <c r="G110" i="7"/>
  <c r="H109" i="7"/>
  <c r="G109" i="7"/>
  <c r="H108" i="7"/>
  <c r="G108" i="7"/>
  <c r="H107" i="7"/>
  <c r="G107" i="7"/>
  <c r="H106" i="7"/>
  <c r="G106" i="7"/>
  <c r="H105" i="7"/>
  <c r="G105" i="7"/>
  <c r="H104" i="7"/>
  <c r="G104" i="7"/>
  <c r="H103" i="7"/>
  <c r="G103" i="7"/>
  <c r="H102" i="7"/>
  <c r="G102" i="7"/>
  <c r="H101" i="7"/>
  <c r="G101" i="7"/>
  <c r="H100" i="7"/>
  <c r="G100" i="7"/>
  <c r="H99" i="7"/>
  <c r="G99" i="7"/>
  <c r="H98" i="7"/>
  <c r="G98" i="7"/>
  <c r="H97" i="7"/>
  <c r="G97" i="7"/>
  <c r="H96" i="7"/>
  <c r="G96" i="7"/>
  <c r="H95" i="7"/>
  <c r="G95" i="7"/>
  <c r="H94" i="7"/>
  <c r="G94" i="7"/>
  <c r="H93" i="7"/>
  <c r="G93" i="7"/>
  <c r="H92" i="7"/>
  <c r="G92" i="7"/>
  <c r="H91" i="7"/>
  <c r="G91" i="7"/>
  <c r="H90" i="7"/>
  <c r="G90" i="7"/>
  <c r="H89" i="7"/>
  <c r="G89" i="7"/>
  <c r="H88" i="7"/>
  <c r="G88" i="7"/>
  <c r="H87" i="7"/>
  <c r="G87" i="7"/>
  <c r="H86" i="7"/>
  <c r="G86" i="7"/>
  <c r="H85" i="7"/>
  <c r="G85" i="7"/>
  <c r="H84" i="7"/>
  <c r="G84" i="7"/>
  <c r="H83" i="7"/>
  <c r="G83" i="7"/>
  <c r="H82" i="7"/>
  <c r="G82" i="7"/>
  <c r="H81" i="7"/>
  <c r="G81" i="7"/>
  <c r="H80" i="7"/>
  <c r="G80" i="7"/>
  <c r="H79" i="7"/>
  <c r="G79" i="7"/>
  <c r="H78" i="7"/>
  <c r="G78" i="7"/>
  <c r="H77" i="7"/>
  <c r="G77" i="7"/>
  <c r="H76" i="7"/>
  <c r="G76" i="7"/>
  <c r="H75" i="7"/>
  <c r="G75" i="7"/>
  <c r="H74" i="7"/>
  <c r="G74" i="7"/>
  <c r="H73" i="7"/>
  <c r="G73" i="7"/>
  <c r="H72" i="7"/>
  <c r="G72" i="7"/>
  <c r="H71" i="7"/>
  <c r="G71" i="7"/>
  <c r="H70" i="7"/>
  <c r="G70" i="7"/>
  <c r="H69" i="7"/>
  <c r="G69" i="7"/>
  <c r="H68" i="7"/>
  <c r="G68" i="7"/>
  <c r="H67" i="7"/>
  <c r="G67" i="7"/>
  <c r="H66" i="7"/>
  <c r="G66" i="7"/>
  <c r="H65" i="7"/>
  <c r="G65" i="7"/>
  <c r="H64" i="7"/>
  <c r="G64" i="7"/>
  <c r="H63" i="7"/>
  <c r="G63" i="7"/>
  <c r="H62" i="7"/>
  <c r="G62" i="7"/>
  <c r="H61" i="7"/>
  <c r="G61" i="7"/>
  <c r="H60" i="7"/>
  <c r="G60" i="7"/>
  <c r="H59" i="7"/>
  <c r="G59" i="7"/>
  <c r="H58" i="7"/>
  <c r="G58" i="7"/>
  <c r="H57" i="7"/>
  <c r="G57" i="7"/>
  <c r="H56" i="7"/>
  <c r="G56" i="7"/>
  <c r="H55" i="7"/>
  <c r="G55" i="7"/>
  <c r="H54" i="7"/>
  <c r="G54" i="7"/>
  <c r="H53" i="7"/>
  <c r="G53" i="7"/>
  <c r="H52" i="7"/>
  <c r="G52" i="7"/>
  <c r="H51" i="7"/>
  <c r="G51" i="7"/>
  <c r="H50" i="7"/>
  <c r="G50" i="7"/>
  <c r="H49" i="7"/>
  <c r="G49" i="7"/>
  <c r="H48" i="7"/>
  <c r="G48" i="7"/>
  <c r="H47" i="7"/>
  <c r="G47" i="7"/>
  <c r="H46" i="7"/>
  <c r="G46" i="7"/>
  <c r="H45" i="7"/>
  <c r="G45" i="7"/>
  <c r="H44" i="7"/>
  <c r="G44" i="7"/>
  <c r="H43" i="7"/>
  <c r="G43" i="7"/>
  <c r="H42" i="7"/>
  <c r="G42" i="7"/>
  <c r="H41" i="7"/>
  <c r="G41" i="7"/>
  <c r="H40" i="7"/>
  <c r="G40" i="7"/>
  <c r="H39" i="7"/>
  <c r="G39" i="7"/>
  <c r="H38" i="7"/>
  <c r="G38" i="7"/>
  <c r="H37" i="7"/>
  <c r="G37" i="7"/>
  <c r="H36" i="7"/>
  <c r="G36" i="7"/>
  <c r="H35" i="7"/>
  <c r="G35" i="7"/>
  <c r="H34" i="7"/>
  <c r="G34" i="7"/>
  <c r="H33" i="7"/>
  <c r="G33" i="7"/>
  <c r="H32" i="7"/>
  <c r="G32" i="7"/>
  <c r="H31" i="7"/>
  <c r="G31" i="7"/>
  <c r="H30" i="7"/>
  <c r="G30" i="7"/>
  <c r="H29" i="7"/>
  <c r="G29" i="7"/>
  <c r="H28" i="7"/>
  <c r="G28" i="7"/>
  <c r="H27" i="7"/>
  <c r="G27" i="7"/>
  <c r="H26" i="7"/>
  <c r="G26" i="7"/>
  <c r="H25" i="7"/>
  <c r="G25" i="7"/>
  <c r="H24" i="7"/>
  <c r="G24" i="7"/>
  <c r="H23" i="7"/>
  <c r="G23" i="7"/>
  <c r="H22" i="7"/>
  <c r="G22" i="7"/>
  <c r="H21" i="7"/>
  <c r="G21" i="7"/>
  <c r="H20" i="7"/>
  <c r="G20" i="7"/>
  <c r="H19" i="7"/>
  <c r="G19" i="7"/>
  <c r="H18" i="7"/>
  <c r="G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H516" i="7" s="1"/>
  <c r="G3" i="7"/>
  <c r="G516" i="7" s="1"/>
  <c r="AF490" i="6"/>
  <c r="P490" i="6" s="1"/>
  <c r="AF491" i="6"/>
  <c r="P491" i="6" s="1"/>
  <c r="AG491" i="6"/>
  <c r="Q491" i="6" s="1"/>
  <c r="AF492" i="6"/>
  <c r="P492" i="6" s="1"/>
  <c r="AF493" i="6"/>
  <c r="P493" i="6" s="1"/>
  <c r="AF494" i="6"/>
  <c r="P494" i="6" s="1"/>
  <c r="AF496" i="6"/>
  <c r="P496" i="6" s="1"/>
  <c r="AG496" i="6"/>
  <c r="Q496" i="6" s="1"/>
  <c r="AF497" i="6"/>
  <c r="P497" i="6" s="1"/>
  <c r="AG497" i="6"/>
  <c r="Q497" i="6" s="1"/>
  <c r="AF499" i="6"/>
  <c r="P499" i="6" s="1"/>
  <c r="AG499" i="6"/>
  <c r="Q499" i="6" s="1"/>
  <c r="AF501" i="6"/>
  <c r="P501" i="6" s="1"/>
  <c r="AF502" i="6"/>
  <c r="P502" i="6" s="1"/>
  <c r="AG502" i="6"/>
  <c r="Q502" i="6" s="1"/>
  <c r="AF503" i="6"/>
  <c r="P503" i="6" s="1"/>
  <c r="AG503" i="6"/>
  <c r="Q503" i="6" s="1"/>
  <c r="AF504" i="6"/>
  <c r="P504" i="6" s="1"/>
  <c r="AG504" i="6"/>
  <c r="Q504" i="6" s="1"/>
  <c r="AF505" i="6"/>
  <c r="P505" i="6" s="1"/>
  <c r="AG505" i="6"/>
  <c r="Q505" i="6" s="1"/>
  <c r="AF506" i="6"/>
  <c r="P506" i="6" s="1"/>
  <c r="AG506" i="6"/>
  <c r="Q506" i="6" s="1"/>
  <c r="AF507" i="6"/>
  <c r="P507" i="6" s="1"/>
  <c r="AG507" i="6"/>
  <c r="Q507" i="6" s="1"/>
  <c r="AF508" i="6"/>
  <c r="P508" i="6" s="1"/>
  <c r="AG508" i="6"/>
  <c r="Q508" i="6" s="1"/>
  <c r="AF509" i="6"/>
  <c r="P509" i="6" s="1"/>
  <c r="AG509" i="6"/>
  <c r="Q509" i="6" s="1"/>
  <c r="AF510" i="6"/>
  <c r="P510" i="6" s="1"/>
  <c r="AG510" i="6"/>
  <c r="Q510" i="6" s="1"/>
  <c r="AF511" i="6"/>
  <c r="P511" i="6" s="1"/>
  <c r="AG511" i="6"/>
  <c r="Q511" i="6" s="1"/>
  <c r="AF512" i="6"/>
  <c r="P512" i="6" s="1"/>
  <c r="AG512" i="6"/>
  <c r="Q512" i="6" s="1"/>
  <c r="AF513" i="6"/>
  <c r="P513" i="6" s="1"/>
  <c r="AG513" i="6"/>
  <c r="Q513" i="6" s="1"/>
  <c r="AF514" i="6"/>
  <c r="P514" i="6" s="1"/>
  <c r="AG514" i="6"/>
  <c r="Q514" i="6" s="1"/>
  <c r="AF515" i="6"/>
  <c r="P515" i="6" s="1"/>
  <c r="AG515" i="6"/>
  <c r="Q515" i="6" s="1"/>
  <c r="AF516" i="6"/>
  <c r="P516" i="6" s="1"/>
  <c r="AG516" i="6"/>
  <c r="Q516" i="6" s="1"/>
  <c r="AF519" i="6"/>
  <c r="P519" i="6" s="1"/>
  <c r="AG519" i="6"/>
  <c r="Q519" i="6" s="1"/>
  <c r="AF520" i="6"/>
  <c r="P520" i="6" s="1"/>
  <c r="AG520" i="6"/>
  <c r="Q520" i="6" s="1"/>
  <c r="AF521" i="6"/>
  <c r="P521" i="6" s="1"/>
  <c r="AG521" i="6"/>
  <c r="Q521" i="6" s="1"/>
  <c r="AF522" i="6"/>
  <c r="P522" i="6" s="1"/>
  <c r="AG522" i="6"/>
  <c r="Q522" i="6" s="1"/>
  <c r="AF523" i="6"/>
  <c r="P523" i="6" s="1"/>
  <c r="AG523" i="6"/>
  <c r="Q523" i="6" s="1"/>
  <c r="AF526" i="6"/>
  <c r="P526" i="6" s="1"/>
  <c r="AG526" i="6"/>
  <c r="Q526" i="6" s="1"/>
  <c r="AF527" i="6"/>
  <c r="P527" i="6" s="1"/>
  <c r="AG527" i="6"/>
  <c r="Q527" i="6" s="1"/>
  <c r="AF528" i="6"/>
  <c r="P528" i="6" s="1"/>
  <c r="AG528" i="6"/>
  <c r="Q528" i="6" s="1"/>
  <c r="AF531" i="6"/>
  <c r="P531" i="6" s="1"/>
  <c r="P530" i="6" s="1"/>
  <c r="AG531" i="6"/>
  <c r="Q531" i="6" s="1"/>
  <c r="Q530" i="6" s="1"/>
  <c r="AF533" i="6"/>
  <c r="P533" i="6" s="1"/>
  <c r="AG533" i="6"/>
  <c r="Q533" i="6" s="1"/>
  <c r="AF534" i="6"/>
  <c r="P534" i="6" s="1"/>
  <c r="AG534" i="6"/>
  <c r="Q534" i="6" s="1"/>
  <c r="AF535" i="6"/>
  <c r="P535" i="6" s="1"/>
  <c r="AF536" i="6"/>
  <c r="P536" i="6" s="1"/>
  <c r="AG536" i="6"/>
  <c r="Q536" i="6" s="1"/>
  <c r="AF537" i="6"/>
  <c r="P537" i="6" s="1"/>
  <c r="AF538" i="6"/>
  <c r="P538" i="6" s="1"/>
  <c r="AF539" i="6"/>
  <c r="P539" i="6" s="1"/>
  <c r="AF540" i="6"/>
  <c r="P540" i="6" s="1"/>
  <c r="AG540" i="6"/>
  <c r="Q540" i="6" s="1"/>
  <c r="AF543" i="6"/>
  <c r="P543" i="6" s="1"/>
  <c r="AG543" i="6"/>
  <c r="Q543" i="6" s="1"/>
  <c r="AF356" i="6"/>
  <c r="P356" i="6" s="1"/>
  <c r="AF357" i="6"/>
  <c r="P357" i="6" s="1"/>
  <c r="AF358" i="6"/>
  <c r="P358" i="6" s="1"/>
  <c r="AG358" i="6"/>
  <c r="Q358" i="6" s="1"/>
  <c r="AF359" i="6"/>
  <c r="P359" i="6" s="1"/>
  <c r="AG359" i="6"/>
  <c r="Q359" i="6" s="1"/>
  <c r="AF360" i="6"/>
  <c r="P360" i="6" s="1"/>
  <c r="AG360" i="6"/>
  <c r="Q360" i="6" s="1"/>
  <c r="AF362" i="6"/>
  <c r="P362" i="6" s="1"/>
  <c r="AG362" i="6"/>
  <c r="Q362" i="6" s="1"/>
  <c r="AF364" i="6"/>
  <c r="P364" i="6" s="1"/>
  <c r="AG364" i="6"/>
  <c r="Q364" i="6" s="1"/>
  <c r="AF365" i="6"/>
  <c r="P365" i="6" s="1"/>
  <c r="AG365" i="6"/>
  <c r="Q365" i="6" s="1"/>
  <c r="AF366" i="6"/>
  <c r="P366" i="6" s="1"/>
  <c r="AG366" i="6"/>
  <c r="Q366" i="6" s="1"/>
  <c r="AF367" i="6"/>
  <c r="P367" i="6" s="1"/>
  <c r="AG367" i="6"/>
  <c r="Q367" i="6" s="1"/>
  <c r="AF368" i="6"/>
  <c r="P368" i="6" s="1"/>
  <c r="AG368" i="6"/>
  <c r="Q368" i="6" s="1"/>
  <c r="AF370" i="6"/>
  <c r="P370" i="6" s="1"/>
  <c r="AG370" i="6"/>
  <c r="Q370" i="6" s="1"/>
  <c r="AF371" i="6"/>
  <c r="P371" i="6" s="1"/>
  <c r="AG371" i="6"/>
  <c r="Q371" i="6" s="1"/>
  <c r="AF372" i="6"/>
  <c r="P372" i="6" s="1"/>
  <c r="AF373" i="6"/>
  <c r="P373" i="6" s="1"/>
  <c r="AF374" i="6"/>
  <c r="P374" i="6" s="1"/>
  <c r="AG374" i="6"/>
  <c r="Q374" i="6" s="1"/>
  <c r="AF375" i="6"/>
  <c r="P375" i="6" s="1"/>
  <c r="AG375" i="6"/>
  <c r="Q375" i="6" s="1"/>
  <c r="AF376" i="6"/>
  <c r="P376" i="6" s="1"/>
  <c r="AF377" i="6"/>
  <c r="P377" i="6" s="1"/>
  <c r="AG377" i="6"/>
  <c r="Q377" i="6" s="1"/>
  <c r="AF378" i="6"/>
  <c r="P378" i="6" s="1"/>
  <c r="AG378" i="6"/>
  <c r="Q378" i="6" s="1"/>
  <c r="AF379" i="6"/>
  <c r="P379" i="6" s="1"/>
  <c r="AF380" i="6"/>
  <c r="P380" i="6" s="1"/>
  <c r="AG380" i="6"/>
  <c r="Q380" i="6" s="1"/>
  <c r="AF381" i="6"/>
  <c r="P381" i="6" s="1"/>
  <c r="AG381" i="6"/>
  <c r="Q381" i="6" s="1"/>
  <c r="AF382" i="6"/>
  <c r="P382" i="6" s="1"/>
  <c r="AF383" i="6"/>
  <c r="P383" i="6" s="1"/>
  <c r="AG383" i="6"/>
  <c r="Q383" i="6" s="1"/>
  <c r="AF384" i="6"/>
  <c r="P384" i="6" s="1"/>
  <c r="AG384" i="6"/>
  <c r="Q384" i="6" s="1"/>
  <c r="AF385" i="6"/>
  <c r="P385" i="6" s="1"/>
  <c r="AG385" i="6"/>
  <c r="Q385" i="6" s="1"/>
  <c r="AF386" i="6"/>
  <c r="P386" i="6" s="1"/>
  <c r="AF387" i="6"/>
  <c r="P387" i="6" s="1"/>
  <c r="AG387" i="6"/>
  <c r="Q387" i="6" s="1"/>
  <c r="AF388" i="6"/>
  <c r="P388" i="6" s="1"/>
  <c r="AF389" i="6"/>
  <c r="P389" i="6" s="1"/>
  <c r="AG389" i="6"/>
  <c r="Q389" i="6" s="1"/>
  <c r="AF390" i="6"/>
  <c r="P390" i="6" s="1"/>
  <c r="AG390" i="6"/>
  <c r="Q390" i="6" s="1"/>
  <c r="AF391" i="6"/>
  <c r="P391" i="6" s="1"/>
  <c r="AG391" i="6"/>
  <c r="Q391" i="6" s="1"/>
  <c r="AF392" i="6"/>
  <c r="P392" i="6" s="1"/>
  <c r="AG392" i="6"/>
  <c r="Q392" i="6" s="1"/>
  <c r="AF393" i="6"/>
  <c r="P393" i="6" s="1"/>
  <c r="AG393" i="6"/>
  <c r="Q393" i="6" s="1"/>
  <c r="AF396" i="6"/>
  <c r="P396" i="6" s="1"/>
  <c r="AG396" i="6"/>
  <c r="Q396" i="6" s="1"/>
  <c r="AF397" i="6"/>
  <c r="P397" i="6" s="1"/>
  <c r="AG397" i="6"/>
  <c r="Q397" i="6" s="1"/>
  <c r="AF398" i="6"/>
  <c r="P398" i="6" s="1"/>
  <c r="AG398" i="6"/>
  <c r="Q398" i="6" s="1"/>
  <c r="AF399" i="6"/>
  <c r="P399" i="6" s="1"/>
  <c r="AG399" i="6"/>
  <c r="Q399" i="6" s="1"/>
  <c r="AF400" i="6"/>
  <c r="P400" i="6" s="1"/>
  <c r="AF401" i="6"/>
  <c r="P401" i="6" s="1"/>
  <c r="AG401" i="6"/>
  <c r="Q401" i="6" s="1"/>
  <c r="AF402" i="6"/>
  <c r="P402" i="6" s="1"/>
  <c r="AG402" i="6"/>
  <c r="Q402" i="6" s="1"/>
  <c r="AF406" i="6"/>
  <c r="P406" i="6" s="1"/>
  <c r="AG406" i="6"/>
  <c r="Q406" i="6" s="1"/>
  <c r="AF408" i="6"/>
  <c r="P408" i="6" s="1"/>
  <c r="AG408" i="6"/>
  <c r="Q408" i="6" s="1"/>
  <c r="AF409" i="6"/>
  <c r="P409" i="6" s="1"/>
  <c r="AG409" i="6"/>
  <c r="Q409" i="6" s="1"/>
  <c r="AF411" i="6"/>
  <c r="P411" i="6" s="1"/>
  <c r="AG411" i="6"/>
  <c r="Q411" i="6" s="1"/>
  <c r="AF412" i="6"/>
  <c r="P412" i="6" s="1"/>
  <c r="AF413" i="6"/>
  <c r="P413" i="6" s="1"/>
  <c r="AG413" i="6"/>
  <c r="Q413" i="6" s="1"/>
  <c r="AF414" i="6"/>
  <c r="P414" i="6" s="1"/>
  <c r="AF416" i="6"/>
  <c r="P416" i="6" s="1"/>
  <c r="AG416" i="6"/>
  <c r="Q416" i="6" s="1"/>
  <c r="AF418" i="6"/>
  <c r="P418" i="6" s="1"/>
  <c r="AG418" i="6"/>
  <c r="Q418" i="6" s="1"/>
  <c r="AF421" i="6"/>
  <c r="P421" i="6" s="1"/>
  <c r="AG421" i="6"/>
  <c r="Q421" i="6" s="1"/>
  <c r="AF422" i="6"/>
  <c r="P422" i="6" s="1"/>
  <c r="AG422" i="6"/>
  <c r="Q422" i="6" s="1"/>
  <c r="AF423" i="6"/>
  <c r="P423" i="6" s="1"/>
  <c r="AG423" i="6"/>
  <c r="Q423" i="6" s="1"/>
  <c r="AF424" i="6"/>
  <c r="P424" i="6" s="1"/>
  <c r="AF425" i="6"/>
  <c r="P425" i="6" s="1"/>
  <c r="AG425" i="6"/>
  <c r="Q425" i="6" s="1"/>
  <c r="AF427" i="6"/>
  <c r="P427" i="6" s="1"/>
  <c r="AG427" i="6"/>
  <c r="Q427" i="6" s="1"/>
  <c r="AF428" i="6"/>
  <c r="P428" i="6" s="1"/>
  <c r="AG428" i="6"/>
  <c r="Q428" i="6" s="1"/>
  <c r="AF431" i="6"/>
  <c r="P431" i="6" s="1"/>
  <c r="AG431" i="6"/>
  <c r="Q431" i="6" s="1"/>
  <c r="AF432" i="6"/>
  <c r="P432" i="6" s="1"/>
  <c r="AG432" i="6"/>
  <c r="Q432" i="6" s="1"/>
  <c r="AF434" i="6"/>
  <c r="P434" i="6" s="1"/>
  <c r="AG434" i="6"/>
  <c r="Q434" i="6" s="1"/>
  <c r="AF437" i="6"/>
  <c r="P437" i="6" s="1"/>
  <c r="AG437" i="6"/>
  <c r="Q437" i="6" s="1"/>
  <c r="AF438" i="6"/>
  <c r="P438" i="6" s="1"/>
  <c r="AG438" i="6"/>
  <c r="Q438" i="6" s="1"/>
  <c r="AF439" i="6"/>
  <c r="P439" i="6" s="1"/>
  <c r="AG439" i="6"/>
  <c r="Q439" i="6" s="1"/>
  <c r="AF440" i="6"/>
  <c r="P440" i="6" s="1"/>
  <c r="AG440" i="6"/>
  <c r="Q440" i="6" s="1"/>
  <c r="AF441" i="6"/>
  <c r="P441" i="6" s="1"/>
  <c r="AG441" i="6"/>
  <c r="Q441" i="6" s="1"/>
  <c r="AF442" i="6"/>
  <c r="P442" i="6" s="1"/>
  <c r="AG442" i="6"/>
  <c r="Q442" i="6" s="1"/>
  <c r="AF443" i="6"/>
  <c r="P443" i="6" s="1"/>
  <c r="AG443" i="6"/>
  <c r="Q443" i="6" s="1"/>
  <c r="AF444" i="6"/>
  <c r="P444" i="6" s="1"/>
  <c r="AG444" i="6"/>
  <c r="Q444" i="6" s="1"/>
  <c r="AF447" i="6"/>
  <c r="P447" i="6" s="1"/>
  <c r="AG447" i="6"/>
  <c r="Q447" i="6" s="1"/>
  <c r="AF449" i="6"/>
  <c r="P449" i="6" s="1"/>
  <c r="AG449" i="6"/>
  <c r="Q449" i="6" s="1"/>
  <c r="AF453" i="6"/>
  <c r="P453" i="6" s="1"/>
  <c r="AG453" i="6"/>
  <c r="Q453" i="6" s="1"/>
  <c r="AF454" i="6"/>
  <c r="P454" i="6" s="1"/>
  <c r="AG454" i="6"/>
  <c r="Q454" i="6" s="1"/>
  <c r="AF456" i="6"/>
  <c r="P456" i="6" s="1"/>
  <c r="AG456" i="6"/>
  <c r="Q456" i="6" s="1"/>
  <c r="AF458" i="6"/>
  <c r="P458" i="6" s="1"/>
  <c r="AG458" i="6"/>
  <c r="Q458" i="6" s="1"/>
  <c r="AF459" i="6"/>
  <c r="P459" i="6" s="1"/>
  <c r="AG459" i="6"/>
  <c r="Q459" i="6" s="1"/>
  <c r="AF460" i="6"/>
  <c r="P460" i="6" s="1"/>
  <c r="AG460" i="6"/>
  <c r="Q460" i="6" s="1"/>
  <c r="AF461" i="6"/>
  <c r="P461" i="6" s="1"/>
  <c r="AG461" i="6"/>
  <c r="Q461" i="6" s="1"/>
  <c r="AF462" i="6"/>
  <c r="P462" i="6" s="1"/>
  <c r="AG462" i="6"/>
  <c r="Q462" i="6" s="1"/>
  <c r="AF463" i="6"/>
  <c r="P463" i="6" s="1"/>
  <c r="AG463" i="6"/>
  <c r="Q463" i="6" s="1"/>
  <c r="AF464" i="6"/>
  <c r="P464" i="6" s="1"/>
  <c r="AG464" i="6"/>
  <c r="Q464" i="6" s="1"/>
  <c r="AF465" i="6"/>
  <c r="P465" i="6" s="1"/>
  <c r="AG465" i="6"/>
  <c r="Q465" i="6" s="1"/>
  <c r="AF466" i="6"/>
  <c r="P466" i="6" s="1"/>
  <c r="AG466" i="6"/>
  <c r="Q466" i="6" s="1"/>
  <c r="AF467" i="6"/>
  <c r="P467" i="6" s="1"/>
  <c r="AG467" i="6"/>
  <c r="Q467" i="6" s="1"/>
  <c r="AF468" i="6"/>
  <c r="P468" i="6" s="1"/>
  <c r="AG468" i="6"/>
  <c r="Q468" i="6" s="1"/>
  <c r="AF469" i="6"/>
  <c r="P469" i="6" s="1"/>
  <c r="AG469" i="6"/>
  <c r="Q469" i="6" s="1"/>
  <c r="AF470" i="6"/>
  <c r="P470" i="6" s="1"/>
  <c r="AG470" i="6"/>
  <c r="Q470" i="6" s="1"/>
  <c r="AF471" i="6"/>
  <c r="P471" i="6" s="1"/>
  <c r="AG471" i="6"/>
  <c r="Q471" i="6" s="1"/>
  <c r="AF472" i="6"/>
  <c r="P472" i="6" s="1"/>
  <c r="AG472" i="6"/>
  <c r="Q472" i="6" s="1"/>
  <c r="AF473" i="6"/>
  <c r="P473" i="6" s="1"/>
  <c r="AG473" i="6"/>
  <c r="Q473" i="6" s="1"/>
  <c r="AF475" i="6"/>
  <c r="P475" i="6" s="1"/>
  <c r="AF476" i="6"/>
  <c r="P476" i="6" s="1"/>
  <c r="AG476" i="6"/>
  <c r="Q476" i="6" s="1"/>
  <c r="AF478" i="6"/>
  <c r="P478" i="6" s="1"/>
  <c r="AG478" i="6"/>
  <c r="Q478" i="6" s="1"/>
  <c r="AF479" i="6"/>
  <c r="P479" i="6" s="1"/>
  <c r="AG479" i="6"/>
  <c r="Q479" i="6" s="1"/>
  <c r="AF480" i="6"/>
  <c r="P480" i="6" s="1"/>
  <c r="AG480" i="6"/>
  <c r="Q480" i="6" s="1"/>
  <c r="AF481" i="6"/>
  <c r="P481" i="6" s="1"/>
  <c r="AG481" i="6"/>
  <c r="Q481" i="6" s="1"/>
  <c r="AF482" i="6"/>
  <c r="P482" i="6" s="1"/>
  <c r="AG482" i="6"/>
  <c r="Q482" i="6" s="1"/>
  <c r="AF483" i="6"/>
  <c r="P483" i="6" s="1"/>
  <c r="AG483" i="6"/>
  <c r="Q483" i="6" s="1"/>
  <c r="AF484" i="6"/>
  <c r="P484" i="6" s="1"/>
  <c r="AG484" i="6"/>
  <c r="Q484" i="6" s="1"/>
  <c r="AF485" i="6"/>
  <c r="P485" i="6" s="1"/>
  <c r="AG485" i="6"/>
  <c r="Q485" i="6" s="1"/>
  <c r="AF486" i="6"/>
  <c r="P486" i="6" s="1"/>
  <c r="AG486" i="6"/>
  <c r="Q486" i="6" s="1"/>
  <c r="AF158" i="6"/>
  <c r="AF159" i="6"/>
  <c r="AF160" i="6"/>
  <c r="AF161" i="6"/>
  <c r="AG161" i="6"/>
  <c r="AF162" i="6"/>
  <c r="AF163" i="6"/>
  <c r="AF164" i="6"/>
  <c r="AG164" i="6"/>
  <c r="AF165" i="6"/>
  <c r="AG165" i="6"/>
  <c r="AF166" i="6"/>
  <c r="AF167" i="6"/>
  <c r="AG167" i="6"/>
  <c r="AF168" i="6"/>
  <c r="AF169" i="6"/>
  <c r="AF170" i="6"/>
  <c r="AF171" i="6"/>
  <c r="AG171" i="6"/>
  <c r="AF172" i="6"/>
  <c r="AG172" i="6"/>
  <c r="AF173" i="6"/>
  <c r="AG173" i="6"/>
  <c r="AF174" i="6"/>
  <c r="AG174" i="6"/>
  <c r="AF175" i="6"/>
  <c r="AF176" i="6"/>
  <c r="AG176" i="6"/>
  <c r="AF177" i="6"/>
  <c r="AG177" i="6"/>
  <c r="AF178" i="6"/>
  <c r="AG178" i="6"/>
  <c r="AF179" i="6"/>
  <c r="AG179" i="6"/>
  <c r="AF180" i="6"/>
  <c r="AF181" i="6"/>
  <c r="AF182" i="6"/>
  <c r="AF183" i="6"/>
  <c r="AF184" i="6"/>
  <c r="AF185" i="6"/>
  <c r="AF186" i="6"/>
  <c r="AG186" i="6"/>
  <c r="AF187" i="6"/>
  <c r="AG187" i="6"/>
  <c r="AF188" i="6"/>
  <c r="AF189" i="6"/>
  <c r="AF190" i="6"/>
  <c r="AF191" i="6"/>
  <c r="AG191" i="6"/>
  <c r="AF192" i="6"/>
  <c r="AF193" i="6"/>
  <c r="AF194" i="6"/>
  <c r="AG194" i="6"/>
  <c r="AF195" i="6"/>
  <c r="AF196" i="6"/>
  <c r="AF197" i="6"/>
  <c r="AF198" i="6"/>
  <c r="AG198" i="6"/>
  <c r="AF199" i="6"/>
  <c r="AF200" i="6"/>
  <c r="AF201" i="6"/>
  <c r="AG201" i="6"/>
  <c r="AF202" i="6"/>
  <c r="AF203" i="6"/>
  <c r="AG203" i="6"/>
  <c r="AF204" i="6"/>
  <c r="AG204" i="6"/>
  <c r="AF205" i="6"/>
  <c r="AF206" i="6"/>
  <c r="AF207" i="6"/>
  <c r="AG207" i="6"/>
  <c r="AF208" i="6"/>
  <c r="AF209" i="6"/>
  <c r="AG209" i="6"/>
  <c r="AF210" i="6"/>
  <c r="AG210" i="6"/>
  <c r="AF211" i="6"/>
  <c r="AF212" i="6"/>
  <c r="AF213" i="6"/>
  <c r="AF214" i="6"/>
  <c r="AF215" i="6"/>
  <c r="AF216" i="6"/>
  <c r="AF217" i="6"/>
  <c r="AF218" i="6"/>
  <c r="AF219" i="6"/>
  <c r="AF220" i="6"/>
  <c r="AF221" i="6"/>
  <c r="AG221" i="6"/>
  <c r="AF222" i="6"/>
  <c r="AG222" i="6"/>
  <c r="AF223" i="6"/>
  <c r="AF224" i="6"/>
  <c r="AG224" i="6"/>
  <c r="AF225" i="6"/>
  <c r="AF226" i="6"/>
  <c r="AG226" i="6"/>
  <c r="AF227" i="6"/>
  <c r="AF228" i="6"/>
  <c r="AF229" i="6"/>
  <c r="AF230" i="6"/>
  <c r="AF231" i="6"/>
  <c r="AG231" i="6"/>
  <c r="AF232" i="6"/>
  <c r="AF233" i="6"/>
  <c r="AF234" i="6"/>
  <c r="AG234" i="6"/>
  <c r="AF235" i="6"/>
  <c r="AF236" i="6"/>
  <c r="AF237" i="6"/>
  <c r="AG237" i="6"/>
  <c r="AF238" i="6"/>
  <c r="AF239" i="6"/>
  <c r="AF240" i="6"/>
  <c r="AF241" i="6"/>
  <c r="AF242" i="6"/>
  <c r="AG242" i="6"/>
  <c r="AF243" i="6"/>
  <c r="AF244" i="6"/>
  <c r="AG244" i="6"/>
  <c r="AF245" i="6"/>
  <c r="AF246" i="6"/>
  <c r="AG246" i="6"/>
  <c r="AF247" i="6"/>
  <c r="AG247" i="6"/>
  <c r="AF248" i="6"/>
  <c r="AF249" i="6"/>
  <c r="AF250" i="6"/>
  <c r="AF251" i="6"/>
  <c r="AF252" i="6"/>
  <c r="AF253" i="6"/>
  <c r="AF254" i="6"/>
  <c r="AF255" i="6"/>
  <c r="AG255" i="6"/>
  <c r="AF256" i="6"/>
  <c r="AF257" i="6"/>
  <c r="AG257" i="6"/>
  <c r="AF258" i="6"/>
  <c r="AG258" i="6"/>
  <c r="AF259" i="6"/>
  <c r="AF260" i="6"/>
  <c r="AF261" i="6"/>
  <c r="AG261" i="6"/>
  <c r="AF262" i="6"/>
  <c r="AF263" i="6"/>
  <c r="AG263" i="6"/>
  <c r="AF264" i="6"/>
  <c r="AF265" i="6"/>
  <c r="AG265" i="6"/>
  <c r="AF266" i="6"/>
  <c r="AF267" i="6"/>
  <c r="AF268" i="6"/>
  <c r="AG268" i="6"/>
  <c r="AF269" i="6"/>
  <c r="AF270" i="6"/>
  <c r="AF271" i="6"/>
  <c r="AF272" i="6"/>
  <c r="AF273" i="6"/>
  <c r="AG273" i="6"/>
  <c r="AF274" i="6"/>
  <c r="AG274" i="6"/>
  <c r="AF275" i="6"/>
  <c r="AF276" i="6"/>
  <c r="AF277" i="6"/>
  <c r="AF278" i="6"/>
  <c r="AF279" i="6"/>
  <c r="AG279" i="6"/>
  <c r="AF280" i="6"/>
  <c r="AG280" i="6"/>
  <c r="AF281" i="6"/>
  <c r="AF282" i="6"/>
  <c r="AG282" i="6"/>
  <c r="AF283" i="6"/>
  <c r="AF284" i="6"/>
  <c r="AG284" i="6"/>
  <c r="AF285" i="6"/>
  <c r="AF286" i="6"/>
  <c r="AF287" i="6"/>
  <c r="AF288" i="6"/>
  <c r="AF289" i="6"/>
  <c r="AG289" i="6"/>
  <c r="AF290" i="6"/>
  <c r="AF291" i="6"/>
  <c r="AF292" i="6"/>
  <c r="AG292" i="6"/>
  <c r="AF293" i="6"/>
  <c r="AG293" i="6"/>
  <c r="AF294" i="6"/>
  <c r="AG294" i="6"/>
  <c r="AF295" i="6"/>
  <c r="AF296" i="6"/>
  <c r="AF297" i="6"/>
  <c r="AG297" i="6"/>
  <c r="AF298" i="6"/>
  <c r="AG298" i="6"/>
  <c r="AF299" i="6"/>
  <c r="AG299" i="6"/>
  <c r="AF300" i="6"/>
  <c r="AF301" i="6"/>
  <c r="AG301" i="6"/>
  <c r="AF302" i="6"/>
  <c r="AF303" i="6"/>
  <c r="AF304" i="6"/>
  <c r="AG304" i="6"/>
  <c r="AF305" i="6"/>
  <c r="AG305" i="6"/>
  <c r="AF306" i="6"/>
  <c r="AF307" i="6"/>
  <c r="AG307" i="6"/>
  <c r="AF308" i="6"/>
  <c r="AF309" i="6"/>
  <c r="AG309" i="6"/>
  <c r="AF310" i="6"/>
  <c r="AF311" i="6"/>
  <c r="AF312" i="6"/>
  <c r="AG312" i="6"/>
  <c r="AF313" i="6"/>
  <c r="AF314" i="6"/>
  <c r="AG314" i="6"/>
  <c r="AF315" i="6"/>
  <c r="AG315" i="6"/>
  <c r="AF316" i="6"/>
  <c r="AF317" i="6"/>
  <c r="AF318" i="6"/>
  <c r="AG318" i="6"/>
  <c r="AF319" i="6"/>
  <c r="AG319" i="6"/>
  <c r="AF320" i="6"/>
  <c r="AG320" i="6"/>
  <c r="AF321" i="6"/>
  <c r="AG321" i="6"/>
  <c r="AF322" i="6"/>
  <c r="AF323" i="6"/>
  <c r="AF324" i="6"/>
  <c r="AF325" i="6"/>
  <c r="AF326" i="6"/>
  <c r="AF327" i="6"/>
  <c r="AF328" i="6"/>
  <c r="AG328" i="6"/>
  <c r="AF329" i="6"/>
  <c r="AF330" i="6"/>
  <c r="AF331" i="6"/>
  <c r="AG331" i="6"/>
  <c r="AF332" i="6"/>
  <c r="AF333" i="6"/>
  <c r="AF334" i="6"/>
  <c r="AG334" i="6"/>
  <c r="AF335" i="6"/>
  <c r="AF337" i="6"/>
  <c r="AF338" i="6"/>
  <c r="AG338" i="6"/>
  <c r="AF339" i="6"/>
  <c r="AG339" i="6"/>
  <c r="AF340" i="6"/>
  <c r="AG340" i="6"/>
  <c r="AF341" i="6"/>
  <c r="AG341" i="6"/>
  <c r="AF342" i="6"/>
  <c r="AG342" i="6"/>
  <c r="AF343" i="6"/>
  <c r="AF344" i="6"/>
  <c r="AG344" i="6"/>
  <c r="AF345" i="6"/>
  <c r="AG345" i="6"/>
  <c r="AF346" i="6"/>
  <c r="AF348" i="6"/>
  <c r="AG348" i="6"/>
  <c r="AF349" i="6"/>
  <c r="AG349" i="6"/>
  <c r="AF350" i="6"/>
  <c r="AG350" i="6"/>
  <c r="AF351" i="6"/>
  <c r="AG351" i="6"/>
  <c r="AF352" i="6"/>
  <c r="AF353" i="6"/>
  <c r="B488" i="6"/>
  <c r="B489" i="6"/>
  <c r="B490" i="6"/>
  <c r="B491" i="6"/>
  <c r="B492" i="6"/>
  <c r="B493" i="6"/>
  <c r="B494" i="6"/>
  <c r="B495" i="6"/>
  <c r="B496" i="6"/>
  <c r="B498" i="6"/>
  <c r="B500" i="6"/>
  <c r="B501" i="6"/>
  <c r="B509" i="6"/>
  <c r="B510" i="6"/>
  <c r="B511" i="6"/>
  <c r="B512" i="6"/>
  <c r="B514" i="6"/>
  <c r="B515" i="6"/>
  <c r="B516" i="6"/>
  <c r="B517" i="6"/>
  <c r="B518" i="6"/>
  <c r="B520" i="6"/>
  <c r="B522" i="6"/>
  <c r="B523" i="6"/>
  <c r="B524" i="6"/>
  <c r="B525" i="6"/>
  <c r="B527" i="6"/>
  <c r="B528" i="6"/>
  <c r="B529" i="6"/>
  <c r="B532" i="6"/>
  <c r="B535" i="6"/>
  <c r="B537" i="6"/>
  <c r="B538" i="6"/>
  <c r="B539" i="6"/>
  <c r="B541" i="6"/>
  <c r="B542" i="6"/>
  <c r="B470" i="6"/>
  <c r="B472" i="6"/>
  <c r="B474" i="6"/>
  <c r="B475" i="6"/>
  <c r="B477" i="6"/>
  <c r="B481" i="6"/>
  <c r="B484" i="6"/>
  <c r="B486" i="6"/>
  <c r="B416" i="6"/>
  <c r="B417" i="6"/>
  <c r="B419" i="6"/>
  <c r="B420" i="6"/>
  <c r="B424" i="6"/>
  <c r="B426" i="6"/>
  <c r="B429" i="6"/>
  <c r="B430" i="6"/>
  <c r="B433" i="6"/>
  <c r="B435" i="6"/>
  <c r="B436" i="6"/>
  <c r="B445" i="6"/>
  <c r="B446" i="6"/>
  <c r="B448" i="6"/>
  <c r="B450" i="6"/>
  <c r="B451" i="6"/>
  <c r="B452" i="6"/>
  <c r="B455" i="6"/>
  <c r="B457" i="6"/>
  <c r="B458" i="6"/>
  <c r="B459" i="6"/>
  <c r="B460" i="6"/>
  <c r="B461" i="6"/>
  <c r="B469" i="6"/>
  <c r="B356" i="6"/>
  <c r="B357" i="6"/>
  <c r="B358" i="6"/>
  <c r="B359" i="6"/>
  <c r="B361" i="6"/>
  <c r="B362" i="6"/>
  <c r="B363" i="6"/>
  <c r="B369" i="6"/>
  <c r="B372" i="6"/>
  <c r="B373" i="6"/>
  <c r="B376" i="6"/>
  <c r="B379" i="6"/>
  <c r="B382" i="6"/>
  <c r="B386" i="6"/>
  <c r="B388" i="6"/>
  <c r="B390" i="6"/>
  <c r="B391" i="6"/>
  <c r="B392" i="6"/>
  <c r="B393" i="6"/>
  <c r="B394" i="6"/>
  <c r="B395" i="6"/>
  <c r="B399" i="6"/>
  <c r="B400" i="6"/>
  <c r="B402" i="6"/>
  <c r="B403" i="6"/>
  <c r="B404" i="6"/>
  <c r="B405" i="6"/>
  <c r="B407" i="6"/>
  <c r="B410" i="6"/>
  <c r="B412" i="6"/>
  <c r="B414" i="6"/>
  <c r="B415" i="6"/>
  <c r="B355" i="6"/>
  <c r="B158" i="6"/>
  <c r="B159" i="6"/>
  <c r="B160" i="6"/>
  <c r="B162" i="6"/>
  <c r="B163" i="6"/>
  <c r="B166" i="6"/>
  <c r="B168" i="6"/>
  <c r="B170" i="6"/>
  <c r="B175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2" i="6"/>
  <c r="B193" i="6"/>
  <c r="B195" i="6"/>
  <c r="B196" i="6"/>
  <c r="B197" i="6"/>
  <c r="B199" i="6"/>
  <c r="B200" i="6"/>
  <c r="B202" i="6"/>
  <c r="B205" i="6"/>
  <c r="B206" i="6"/>
  <c r="B207" i="6"/>
  <c r="B208" i="6"/>
  <c r="B211" i="6"/>
  <c r="B212" i="6"/>
  <c r="B213" i="6"/>
  <c r="B214" i="6"/>
  <c r="B215" i="6"/>
  <c r="B216" i="6"/>
  <c r="B217" i="6"/>
  <c r="B218" i="6"/>
  <c r="B219" i="6"/>
  <c r="B220" i="6"/>
  <c r="B223" i="6"/>
  <c r="B224" i="6"/>
  <c r="B225" i="6"/>
  <c r="B227" i="6"/>
  <c r="B228" i="6"/>
  <c r="B229" i="6"/>
  <c r="B230" i="6"/>
  <c r="B232" i="6"/>
  <c r="B233" i="6"/>
  <c r="B235" i="6"/>
  <c r="B236" i="6"/>
  <c r="B238" i="6"/>
  <c r="B239" i="6"/>
  <c r="B240" i="6"/>
  <c r="B241" i="6"/>
  <c r="B242" i="6"/>
  <c r="B243" i="6"/>
  <c r="B244" i="6"/>
  <c r="B245" i="6"/>
  <c r="B248" i="6"/>
  <c r="B249" i="6"/>
  <c r="B250" i="6"/>
  <c r="B251" i="6"/>
  <c r="B252" i="6"/>
  <c r="B253" i="6"/>
  <c r="B254" i="6"/>
  <c r="B256" i="6"/>
  <c r="B257" i="6"/>
  <c r="B258" i="6"/>
  <c r="B259" i="6"/>
  <c r="B260" i="6"/>
  <c r="B262" i="6"/>
  <c r="B264" i="6"/>
  <c r="B266" i="6"/>
  <c r="B267" i="6"/>
  <c r="B269" i="6"/>
  <c r="B270" i="6"/>
  <c r="B272" i="6"/>
  <c r="B273" i="6"/>
  <c r="B274" i="6"/>
  <c r="B275" i="6"/>
  <c r="B276" i="6"/>
  <c r="B277" i="6"/>
  <c r="B278" i="6"/>
  <c r="B280" i="6"/>
  <c r="B281" i="6"/>
  <c r="B282" i="6"/>
  <c r="B283" i="6"/>
  <c r="B285" i="6"/>
  <c r="B286" i="6"/>
  <c r="B287" i="6"/>
  <c r="B288" i="6"/>
  <c r="B290" i="6"/>
  <c r="B291" i="6"/>
  <c r="B292" i="6"/>
  <c r="B293" i="6"/>
  <c r="B294" i="6"/>
  <c r="B295" i="6"/>
  <c r="B296" i="6"/>
  <c r="B300" i="6"/>
  <c r="B301" i="6"/>
  <c r="B302" i="6"/>
  <c r="B303" i="6"/>
  <c r="B306" i="6"/>
  <c r="B307" i="6"/>
  <c r="B308" i="6"/>
  <c r="B310" i="6"/>
  <c r="B311" i="6"/>
  <c r="B313" i="6"/>
  <c r="B314" i="6"/>
  <c r="B315" i="6"/>
  <c r="B316" i="6"/>
  <c r="B317" i="6"/>
  <c r="B322" i="6"/>
  <c r="B323" i="6"/>
  <c r="B324" i="6"/>
  <c r="B325" i="6"/>
  <c r="B326" i="6"/>
  <c r="B327" i="6"/>
  <c r="B329" i="6"/>
  <c r="B330" i="6"/>
  <c r="B332" i="6"/>
  <c r="B333" i="6"/>
  <c r="B335" i="6"/>
  <c r="B336" i="6"/>
  <c r="B337" i="6"/>
  <c r="B343" i="6"/>
  <c r="B346" i="6"/>
  <c r="B347" i="6"/>
  <c r="B352" i="6"/>
  <c r="B353" i="6"/>
  <c r="B157" i="6"/>
  <c r="E488" i="6" l="1"/>
  <c r="D269" i="6"/>
  <c r="E355" i="6"/>
  <c r="D488" i="6"/>
  <c r="D134" i="6"/>
  <c r="D59" i="6"/>
  <c r="D457" i="6"/>
  <c r="D355" i="6" s="1"/>
  <c r="D228" i="6"/>
  <c r="E157" i="6"/>
  <c r="E11" i="6"/>
  <c r="D86" i="6"/>
  <c r="D158" i="6"/>
  <c r="D12" i="6"/>
  <c r="AF13" i="6"/>
  <c r="P13" i="6" s="1"/>
  <c r="AF14" i="6"/>
  <c r="P14" i="6" s="1"/>
  <c r="AG14" i="6"/>
  <c r="Q14" i="6" s="1"/>
  <c r="AF15" i="6"/>
  <c r="AG15" i="6"/>
  <c r="AF16" i="6"/>
  <c r="AG16" i="6"/>
  <c r="AF17" i="6"/>
  <c r="P17" i="6" s="1"/>
  <c r="AG17" i="6"/>
  <c r="Q17" i="6" s="1"/>
  <c r="AF18" i="6"/>
  <c r="P18" i="6" s="1"/>
  <c r="AF19" i="6"/>
  <c r="AG19" i="6"/>
  <c r="AF20" i="6"/>
  <c r="P20" i="6" s="1"/>
  <c r="AG20" i="6"/>
  <c r="Q20" i="6" s="1"/>
  <c r="AF21" i="6"/>
  <c r="AG21" i="6"/>
  <c r="AF22" i="6"/>
  <c r="P22" i="6" s="1"/>
  <c r="AG22" i="6"/>
  <c r="Q22" i="6" s="1"/>
  <c r="AF23" i="6"/>
  <c r="P23" i="6" s="1"/>
  <c r="AG23" i="6"/>
  <c r="Q23" i="6" s="1"/>
  <c r="AF24" i="6"/>
  <c r="AG24" i="6"/>
  <c r="AF25" i="6"/>
  <c r="AG25" i="6"/>
  <c r="AF26" i="6"/>
  <c r="AG26" i="6"/>
  <c r="AF27" i="6"/>
  <c r="AG27" i="6"/>
  <c r="AF28" i="6"/>
  <c r="P28" i="6" s="1"/>
  <c r="AG28" i="6"/>
  <c r="Q28" i="6" s="1"/>
  <c r="AF29" i="6"/>
  <c r="AG29" i="6"/>
  <c r="AF30" i="6"/>
  <c r="AG30" i="6"/>
  <c r="AF31" i="6"/>
  <c r="AG31" i="6"/>
  <c r="AF32" i="6"/>
  <c r="AG32" i="6"/>
  <c r="AF33" i="6"/>
  <c r="AG33" i="6"/>
  <c r="AF34" i="6"/>
  <c r="AG34" i="6"/>
  <c r="AF35" i="6"/>
  <c r="AG35" i="6"/>
  <c r="AF36" i="6"/>
  <c r="AG36" i="6"/>
  <c r="AF37" i="6"/>
  <c r="P37" i="6" s="1"/>
  <c r="AF38" i="6"/>
  <c r="AG38" i="6"/>
  <c r="AF39" i="6"/>
  <c r="P39" i="6" s="1"/>
  <c r="AG39" i="6"/>
  <c r="Q39" i="6" s="1"/>
  <c r="AF40" i="6"/>
  <c r="P40" i="6" s="1"/>
  <c r="AF41" i="6"/>
  <c r="AG41" i="6"/>
  <c r="AF42" i="6"/>
  <c r="P42" i="6" s="1"/>
  <c r="AF43" i="6"/>
  <c r="AG43" i="6"/>
  <c r="AF44" i="6"/>
  <c r="P44" i="6" s="1"/>
  <c r="AF45" i="6"/>
  <c r="P45" i="6" s="1"/>
  <c r="AG45" i="6"/>
  <c r="Q45" i="6" s="1"/>
  <c r="AF46" i="6"/>
  <c r="AG46" i="6"/>
  <c r="AF47" i="6"/>
  <c r="P47" i="6" s="1"/>
  <c r="AG47" i="6"/>
  <c r="Q47" i="6" s="1"/>
  <c r="AF48" i="6"/>
  <c r="P48" i="6" s="1"/>
  <c r="AG48" i="6"/>
  <c r="Q48" i="6" s="1"/>
  <c r="AF49" i="6"/>
  <c r="AG49" i="6"/>
  <c r="AF50" i="6"/>
  <c r="P50" i="6" s="1"/>
  <c r="AG50" i="6"/>
  <c r="Q50" i="6" s="1"/>
  <c r="AF51" i="6"/>
  <c r="AG51" i="6"/>
  <c r="AF52" i="6"/>
  <c r="P52" i="6" s="1"/>
  <c r="AG52" i="6"/>
  <c r="Q52" i="6" s="1"/>
  <c r="AF53" i="6"/>
  <c r="AG53" i="6"/>
  <c r="AF54" i="6"/>
  <c r="P54" i="6" s="1"/>
  <c r="AG54" i="6"/>
  <c r="Q54" i="6" s="1"/>
  <c r="AF55" i="6"/>
  <c r="AG55" i="6"/>
  <c r="AF57" i="6"/>
  <c r="AG57" i="6"/>
  <c r="AF58" i="6"/>
  <c r="P58" i="6" s="1"/>
  <c r="AG58" i="6"/>
  <c r="Q58" i="6" s="1"/>
  <c r="AF59" i="6"/>
  <c r="P59" i="6" s="1"/>
  <c r="AG59" i="6"/>
  <c r="Q59" i="6" s="1"/>
  <c r="AF60" i="6"/>
  <c r="P60" i="6" s="1"/>
  <c r="AG60" i="6"/>
  <c r="Q60" i="6" s="1"/>
  <c r="AF61" i="6"/>
  <c r="AG61" i="6"/>
  <c r="AF62" i="6"/>
  <c r="AG62" i="6"/>
  <c r="AF63" i="6"/>
  <c r="AG63" i="6"/>
  <c r="AF64" i="6"/>
  <c r="AG64" i="6"/>
  <c r="AF65" i="6"/>
  <c r="AG65" i="6"/>
  <c r="AF66" i="6"/>
  <c r="AG66" i="6"/>
  <c r="AF67" i="6"/>
  <c r="AG67" i="6"/>
  <c r="AF68" i="6"/>
  <c r="AG68" i="6"/>
  <c r="AF69" i="6"/>
  <c r="AG69" i="6"/>
  <c r="AF70" i="6"/>
  <c r="P70" i="6" s="1"/>
  <c r="AG70" i="6"/>
  <c r="Q70" i="6" s="1"/>
  <c r="AF71" i="6"/>
  <c r="AG71" i="6"/>
  <c r="AF72" i="6"/>
  <c r="AG72" i="6"/>
  <c r="AF73" i="6"/>
  <c r="AG73" i="6"/>
  <c r="AF74" i="6"/>
  <c r="AG74" i="6"/>
  <c r="AF75" i="6"/>
  <c r="AG75" i="6"/>
  <c r="AF76" i="6"/>
  <c r="AG76" i="6"/>
  <c r="AF77" i="6"/>
  <c r="P77" i="6" s="1"/>
  <c r="AG77" i="6"/>
  <c r="Q77" i="6" s="1"/>
  <c r="AF78" i="6"/>
  <c r="AG78" i="6"/>
  <c r="AF79" i="6"/>
  <c r="P79" i="6" s="1"/>
  <c r="AG79" i="6"/>
  <c r="Q79" i="6" s="1"/>
  <c r="AF80" i="6"/>
  <c r="AG80" i="6"/>
  <c r="AF81" i="6"/>
  <c r="P81" i="6" s="1"/>
  <c r="AG81" i="6"/>
  <c r="Q81" i="6" s="1"/>
  <c r="AF82" i="6"/>
  <c r="P82" i="6" s="1"/>
  <c r="AG82" i="6"/>
  <c r="Q82" i="6" s="1"/>
  <c r="AF83" i="6"/>
  <c r="P83" i="6" s="1"/>
  <c r="AG83" i="6"/>
  <c r="Q83" i="6" s="1"/>
  <c r="AF84" i="6"/>
  <c r="P84" i="6" s="1"/>
  <c r="AG84" i="6"/>
  <c r="Q84" i="6" s="1"/>
  <c r="AF85" i="6"/>
  <c r="AG85" i="6"/>
  <c r="AF87" i="6"/>
  <c r="P87" i="6" s="1"/>
  <c r="AG87" i="6"/>
  <c r="Q87" i="6" s="1"/>
  <c r="AF88" i="6"/>
  <c r="P88" i="6" s="1"/>
  <c r="AG88" i="6"/>
  <c r="Q88" i="6" s="1"/>
  <c r="AF89" i="6"/>
  <c r="P89" i="6" s="1"/>
  <c r="AG89" i="6"/>
  <c r="Q89" i="6" s="1"/>
  <c r="AF90" i="6"/>
  <c r="P90" i="6" s="1"/>
  <c r="AG90" i="6"/>
  <c r="Q90" i="6" s="1"/>
  <c r="AF91" i="6"/>
  <c r="P91" i="6" s="1"/>
  <c r="AG91" i="6"/>
  <c r="Q91" i="6" s="1"/>
  <c r="AF92" i="6"/>
  <c r="AG92" i="6"/>
  <c r="AF93" i="6"/>
  <c r="P93" i="6" s="1"/>
  <c r="AF94" i="6"/>
  <c r="P94" i="6" s="1"/>
  <c r="AF95" i="6"/>
  <c r="AG95" i="6"/>
  <c r="AF96" i="6"/>
  <c r="P96" i="6" s="1"/>
  <c r="AF97" i="6"/>
  <c r="P97" i="6" s="1"/>
  <c r="AF98" i="6"/>
  <c r="AG98" i="6"/>
  <c r="AF99" i="6"/>
  <c r="P99" i="6" s="1"/>
  <c r="AG99" i="6"/>
  <c r="Q99" i="6" s="1"/>
  <c r="AF100" i="6"/>
  <c r="P100" i="6" s="1"/>
  <c r="AG100" i="6"/>
  <c r="Q100" i="6" s="1"/>
  <c r="AF101" i="6"/>
  <c r="P101" i="6" s="1"/>
  <c r="AG101" i="6"/>
  <c r="Q101" i="6" s="1"/>
  <c r="AF102" i="6"/>
  <c r="AG102" i="6"/>
  <c r="AF103" i="6"/>
  <c r="P103" i="6" s="1"/>
  <c r="AG103" i="6"/>
  <c r="Q103" i="6" s="1"/>
  <c r="AF104" i="6"/>
  <c r="P104" i="6" s="1"/>
  <c r="AG104" i="6"/>
  <c r="Q104" i="6" s="1"/>
  <c r="AF105" i="6"/>
  <c r="P105" i="6" s="1"/>
  <c r="AG105" i="6"/>
  <c r="Q105" i="6" s="1"/>
  <c r="AF106" i="6"/>
  <c r="P106" i="6" s="1"/>
  <c r="AG106" i="6"/>
  <c r="Q106" i="6" s="1"/>
  <c r="AF107" i="6"/>
  <c r="AG107" i="6"/>
  <c r="AF108" i="6"/>
  <c r="P108" i="6" s="1"/>
  <c r="AG108" i="6"/>
  <c r="Q108" i="6" s="1"/>
  <c r="AF109" i="6"/>
  <c r="P109" i="6" s="1"/>
  <c r="AG109" i="6"/>
  <c r="Q109" i="6" s="1"/>
  <c r="AF110" i="6"/>
  <c r="P110" i="6" s="1"/>
  <c r="AG110" i="6"/>
  <c r="Q110" i="6" s="1"/>
  <c r="AF111" i="6"/>
  <c r="AG111" i="6"/>
  <c r="AF112" i="6"/>
  <c r="P112" i="6" s="1"/>
  <c r="AG112" i="6"/>
  <c r="Q112" i="6" s="1"/>
  <c r="AF113" i="6"/>
  <c r="P113" i="6" s="1"/>
  <c r="AG113" i="6"/>
  <c r="Q113" i="6" s="1"/>
  <c r="AF114" i="6"/>
  <c r="P114" i="6" s="1"/>
  <c r="AG114" i="6"/>
  <c r="Q114" i="6" s="1"/>
  <c r="AF115" i="6"/>
  <c r="AG115" i="6"/>
  <c r="AF117" i="6"/>
  <c r="P117" i="6" s="1"/>
  <c r="AG117" i="6"/>
  <c r="Q117" i="6" s="1"/>
  <c r="AF118" i="6"/>
  <c r="P118" i="6" s="1"/>
  <c r="AG118" i="6"/>
  <c r="Q118" i="6" s="1"/>
  <c r="AF120" i="6"/>
  <c r="AG120" i="6"/>
  <c r="AF121" i="6"/>
  <c r="P121" i="6" s="1"/>
  <c r="AG121" i="6"/>
  <c r="Q121" i="6" s="1"/>
  <c r="AF122" i="6"/>
  <c r="P122" i="6" s="1"/>
  <c r="AG122" i="6"/>
  <c r="Q122" i="6" s="1"/>
  <c r="AF123" i="6"/>
  <c r="P123" i="6" s="1"/>
  <c r="AG123" i="6"/>
  <c r="Q123" i="6" s="1"/>
  <c r="AF124" i="6"/>
  <c r="AG124" i="6"/>
  <c r="AF125" i="6"/>
  <c r="P125" i="6" s="1"/>
  <c r="AG125" i="6"/>
  <c r="Q125" i="6" s="1"/>
  <c r="AF126" i="6"/>
  <c r="P126" i="6" s="1"/>
  <c r="AG126" i="6"/>
  <c r="Q126" i="6" s="1"/>
  <c r="AF127" i="6"/>
  <c r="AG127" i="6"/>
  <c r="AF128" i="6"/>
  <c r="AG128" i="6"/>
  <c r="AF129" i="6"/>
  <c r="P129" i="6" s="1"/>
  <c r="AG129" i="6"/>
  <c r="Q129" i="6" s="1"/>
  <c r="AF130" i="6"/>
  <c r="P130" i="6" s="1"/>
  <c r="AG130" i="6"/>
  <c r="Q130" i="6" s="1"/>
  <c r="AF131" i="6"/>
  <c r="P131" i="6" s="1"/>
  <c r="AG131" i="6"/>
  <c r="Q131" i="6" s="1"/>
  <c r="AF132" i="6"/>
  <c r="AG132" i="6"/>
  <c r="AF133" i="6"/>
  <c r="AG133" i="6"/>
  <c r="AF134" i="6"/>
  <c r="P134" i="6" s="1"/>
  <c r="AG134" i="6"/>
  <c r="Q134" i="6" s="1"/>
  <c r="AF135" i="6"/>
  <c r="P135" i="6" s="1"/>
  <c r="AG135" i="6"/>
  <c r="Q135" i="6" s="1"/>
  <c r="AF136" i="6"/>
  <c r="P136" i="6" s="1"/>
  <c r="AG136" i="6"/>
  <c r="Q136" i="6" s="1"/>
  <c r="AF137" i="6"/>
  <c r="P137" i="6" s="1"/>
  <c r="AG137" i="6"/>
  <c r="Q137" i="6" s="1"/>
  <c r="AF138" i="6"/>
  <c r="AG138" i="6"/>
  <c r="AF139" i="6"/>
  <c r="P139" i="6" s="1"/>
  <c r="AG139" i="6"/>
  <c r="Q139" i="6" s="1"/>
  <c r="AF141" i="6"/>
  <c r="P141" i="6" s="1"/>
  <c r="AG141" i="6"/>
  <c r="Q141" i="6" s="1"/>
  <c r="AF142" i="6"/>
  <c r="P142" i="6" s="1"/>
  <c r="AF143" i="6"/>
  <c r="P143" i="6" s="1"/>
  <c r="AG143" i="6"/>
  <c r="Q143" i="6" s="1"/>
  <c r="AF144" i="6"/>
  <c r="P144" i="6" s="1"/>
  <c r="AG144" i="6"/>
  <c r="Q144" i="6" s="1"/>
  <c r="AF146" i="6"/>
  <c r="P146" i="6" s="1"/>
  <c r="AG146" i="6"/>
  <c r="Q146" i="6" s="1"/>
  <c r="AF147" i="6"/>
  <c r="P147" i="6" s="1"/>
  <c r="AF148" i="6"/>
  <c r="P148" i="6" s="1"/>
  <c r="AF149" i="6"/>
  <c r="AG149" i="6"/>
  <c r="AF150" i="6"/>
  <c r="P150" i="6" s="1"/>
  <c r="AG150" i="6"/>
  <c r="Q150" i="6" s="1"/>
  <c r="AF151" i="6"/>
  <c r="AG151" i="6"/>
  <c r="AF152" i="6"/>
  <c r="P152" i="6" s="1"/>
  <c r="AG152" i="6"/>
  <c r="Q152" i="6" s="1"/>
  <c r="AF153" i="6"/>
  <c r="P153" i="6" s="1"/>
  <c r="AF154" i="6"/>
  <c r="P154" i="6" s="1"/>
  <c r="AG154" i="6"/>
  <c r="Q154" i="6" s="1"/>
  <c r="AF155" i="6"/>
  <c r="P155" i="6" s="1"/>
  <c r="P158" i="6"/>
  <c r="P159" i="6"/>
  <c r="P160" i="6"/>
  <c r="P161" i="6"/>
  <c r="Q161" i="6"/>
  <c r="P162" i="6"/>
  <c r="P163" i="6"/>
  <c r="P164" i="6"/>
  <c r="Q164" i="6"/>
  <c r="P165" i="6"/>
  <c r="Q165" i="6"/>
  <c r="P166" i="6"/>
  <c r="P167" i="6"/>
  <c r="Q167" i="6"/>
  <c r="P168" i="6"/>
  <c r="P169" i="6"/>
  <c r="P170" i="6"/>
  <c r="P171" i="6"/>
  <c r="Q171" i="6"/>
  <c r="P172" i="6"/>
  <c r="Q172" i="6"/>
  <c r="P173" i="6"/>
  <c r="Q173" i="6"/>
  <c r="P174" i="6"/>
  <c r="Q174" i="6"/>
  <c r="P175" i="6"/>
  <c r="P176" i="6"/>
  <c r="Q176" i="6"/>
  <c r="P177" i="6"/>
  <c r="Q177" i="6"/>
  <c r="P178" i="6"/>
  <c r="Q178" i="6"/>
  <c r="P179" i="6"/>
  <c r="Q179" i="6"/>
  <c r="P180" i="6"/>
  <c r="P181" i="6"/>
  <c r="P182" i="6"/>
  <c r="P183" i="6"/>
  <c r="P184" i="6"/>
  <c r="P185" i="6"/>
  <c r="P186" i="6"/>
  <c r="Q186" i="6"/>
  <c r="P187" i="6"/>
  <c r="Q187" i="6"/>
  <c r="P188" i="6"/>
  <c r="P189" i="6"/>
  <c r="P190" i="6"/>
  <c r="P191" i="6"/>
  <c r="Q191" i="6"/>
  <c r="P192" i="6"/>
  <c r="P193" i="6"/>
  <c r="P194" i="6"/>
  <c r="Q194" i="6"/>
  <c r="P195" i="6"/>
  <c r="P196" i="6"/>
  <c r="P197" i="6"/>
  <c r="P198" i="6"/>
  <c r="Q198" i="6"/>
  <c r="P199" i="6"/>
  <c r="P200" i="6"/>
  <c r="P201" i="6"/>
  <c r="Q201" i="6"/>
  <c r="P202" i="6"/>
  <c r="P203" i="6"/>
  <c r="Q203" i="6"/>
  <c r="P204" i="6"/>
  <c r="Q204" i="6"/>
  <c r="P205" i="6"/>
  <c r="P206" i="6"/>
  <c r="P207" i="6"/>
  <c r="Q207" i="6"/>
  <c r="P208" i="6"/>
  <c r="P209" i="6"/>
  <c r="Q209" i="6"/>
  <c r="P210" i="6"/>
  <c r="Q210" i="6"/>
  <c r="P211" i="6"/>
  <c r="P212" i="6"/>
  <c r="P213" i="6"/>
  <c r="P214" i="6"/>
  <c r="P215" i="6"/>
  <c r="P216" i="6"/>
  <c r="P217" i="6"/>
  <c r="P218" i="6"/>
  <c r="P219" i="6"/>
  <c r="P220" i="6"/>
  <c r="P221" i="6"/>
  <c r="Q221" i="6"/>
  <c r="P222" i="6"/>
  <c r="Q222" i="6"/>
  <c r="P223" i="6"/>
  <c r="P224" i="6"/>
  <c r="Q224" i="6"/>
  <c r="P225" i="6"/>
  <c r="P226" i="6"/>
  <c r="Q226" i="6"/>
  <c r="P227" i="6"/>
  <c r="P228" i="6"/>
  <c r="P229" i="6"/>
  <c r="P230" i="6"/>
  <c r="P231" i="6"/>
  <c r="Q231" i="6"/>
  <c r="P232" i="6"/>
  <c r="P233" i="6"/>
  <c r="P234" i="6"/>
  <c r="Q234" i="6"/>
  <c r="P235" i="6"/>
  <c r="P236" i="6"/>
  <c r="P237" i="6"/>
  <c r="Q237" i="6"/>
  <c r="P238" i="6"/>
  <c r="P239" i="6"/>
  <c r="P240" i="6"/>
  <c r="P241" i="6"/>
  <c r="P242" i="6"/>
  <c r="Q242" i="6"/>
  <c r="P243" i="6"/>
  <c r="P244" i="6"/>
  <c r="Q244" i="6"/>
  <c r="P245" i="6"/>
  <c r="P246" i="6"/>
  <c r="Q246" i="6"/>
  <c r="P247" i="6"/>
  <c r="Q247" i="6"/>
  <c r="P248" i="6"/>
  <c r="P249" i="6"/>
  <c r="P250" i="6"/>
  <c r="P251" i="6"/>
  <c r="P252" i="6"/>
  <c r="P253" i="6"/>
  <c r="P254" i="6"/>
  <c r="P255" i="6"/>
  <c r="Q255" i="6"/>
  <c r="P256" i="6"/>
  <c r="P257" i="6"/>
  <c r="Q257" i="6"/>
  <c r="P258" i="6"/>
  <c r="Q258" i="6"/>
  <c r="P259" i="6"/>
  <c r="P260" i="6"/>
  <c r="P261" i="6"/>
  <c r="Q261" i="6"/>
  <c r="P262" i="6"/>
  <c r="P263" i="6"/>
  <c r="Q263" i="6"/>
  <c r="P264" i="6"/>
  <c r="P265" i="6"/>
  <c r="Q265" i="6"/>
  <c r="P266" i="6"/>
  <c r="P267" i="6"/>
  <c r="P268" i="6"/>
  <c r="Q268" i="6"/>
  <c r="P269" i="6"/>
  <c r="P270" i="6"/>
  <c r="P271" i="6"/>
  <c r="P272" i="6"/>
  <c r="P273" i="6"/>
  <c r="Q273" i="6"/>
  <c r="P274" i="6"/>
  <c r="Q274" i="6"/>
  <c r="P275" i="6"/>
  <c r="P276" i="6"/>
  <c r="P277" i="6"/>
  <c r="P278" i="6"/>
  <c r="P279" i="6"/>
  <c r="Q279" i="6"/>
  <c r="P280" i="6"/>
  <c r="Q280" i="6"/>
  <c r="P281" i="6"/>
  <c r="P282" i="6"/>
  <c r="Q282" i="6"/>
  <c r="P283" i="6"/>
  <c r="P284" i="6"/>
  <c r="Q284" i="6"/>
  <c r="P285" i="6"/>
  <c r="P286" i="6"/>
  <c r="P287" i="6"/>
  <c r="P288" i="6"/>
  <c r="P289" i="6"/>
  <c r="Q289" i="6"/>
  <c r="P290" i="6"/>
  <c r="P291" i="6"/>
  <c r="P292" i="6"/>
  <c r="Q292" i="6"/>
  <c r="P293" i="6"/>
  <c r="Q293" i="6"/>
  <c r="P294" i="6"/>
  <c r="Q294" i="6"/>
  <c r="P295" i="6"/>
  <c r="P296" i="6"/>
  <c r="P297" i="6"/>
  <c r="Q297" i="6"/>
  <c r="P298" i="6"/>
  <c r="Q298" i="6"/>
  <c r="P299" i="6"/>
  <c r="Q299" i="6"/>
  <c r="P300" i="6"/>
  <c r="P301" i="6"/>
  <c r="Q301" i="6"/>
  <c r="P302" i="6"/>
  <c r="P303" i="6"/>
  <c r="P304" i="6"/>
  <c r="Q304" i="6"/>
  <c r="P305" i="6"/>
  <c r="Q305" i="6"/>
  <c r="P306" i="6"/>
  <c r="P307" i="6"/>
  <c r="Q307" i="6"/>
  <c r="P308" i="6"/>
  <c r="P309" i="6"/>
  <c r="Q309" i="6"/>
  <c r="P310" i="6"/>
  <c r="P311" i="6"/>
  <c r="P312" i="6"/>
  <c r="Q312" i="6"/>
  <c r="P313" i="6"/>
  <c r="P314" i="6"/>
  <c r="Q314" i="6"/>
  <c r="P315" i="6"/>
  <c r="Q315" i="6"/>
  <c r="P316" i="6"/>
  <c r="P317" i="6"/>
  <c r="P318" i="6"/>
  <c r="Q318" i="6"/>
  <c r="P319" i="6"/>
  <c r="Q319" i="6"/>
  <c r="P320" i="6"/>
  <c r="Q320" i="6"/>
  <c r="P321" i="6"/>
  <c r="Q321" i="6"/>
  <c r="P322" i="6"/>
  <c r="P323" i="6"/>
  <c r="P324" i="6"/>
  <c r="P325" i="6"/>
  <c r="P326" i="6"/>
  <c r="P327" i="6"/>
  <c r="P328" i="6"/>
  <c r="Q328" i="6"/>
  <c r="P329" i="6"/>
  <c r="P330" i="6"/>
  <c r="P331" i="6"/>
  <c r="Q331" i="6"/>
  <c r="P332" i="6"/>
  <c r="P333" i="6"/>
  <c r="P334" i="6"/>
  <c r="Q334" i="6"/>
  <c r="P335" i="6"/>
  <c r="P337" i="6"/>
  <c r="P338" i="6"/>
  <c r="Q338" i="6"/>
  <c r="P339" i="6"/>
  <c r="Q339" i="6"/>
  <c r="P340" i="6"/>
  <c r="Q340" i="6"/>
  <c r="P341" i="6"/>
  <c r="Q341" i="6"/>
  <c r="P342" i="6"/>
  <c r="Q342" i="6"/>
  <c r="P343" i="6"/>
  <c r="P344" i="6"/>
  <c r="Q344" i="6"/>
  <c r="P345" i="6"/>
  <c r="Q345" i="6"/>
  <c r="P346" i="6"/>
  <c r="P348" i="6"/>
  <c r="Q348" i="6"/>
  <c r="P349" i="6"/>
  <c r="Q349" i="6"/>
  <c r="P350" i="6"/>
  <c r="Q350" i="6"/>
  <c r="P351" i="6"/>
  <c r="Q351" i="6"/>
  <c r="P352" i="6"/>
  <c r="P353" i="6"/>
  <c r="C5" i="6"/>
  <c r="C4" i="6"/>
  <c r="D157" i="6" l="1"/>
  <c r="D11" i="6"/>
  <c r="P4" i="6"/>
  <c r="P5" i="6"/>
  <c r="P3" i="6"/>
  <c r="C3" i="6"/>
  <c r="C6" i="6" s="1"/>
  <c r="AI12" i="6"/>
  <c r="AI13" i="6"/>
  <c r="AI14" i="6"/>
  <c r="AI15" i="6"/>
  <c r="AK15" i="6" s="1"/>
  <c r="AI16" i="6"/>
  <c r="AK16" i="6" s="1"/>
  <c r="AI17" i="6"/>
  <c r="AI18" i="6"/>
  <c r="AI19" i="6"/>
  <c r="AK19" i="6" s="1"/>
  <c r="AI20" i="6"/>
  <c r="AI21" i="6"/>
  <c r="AK21" i="6" s="1"/>
  <c r="AI22" i="6"/>
  <c r="AI23" i="6"/>
  <c r="AI24" i="6"/>
  <c r="AK24" i="6" s="1"/>
  <c r="AI25" i="6"/>
  <c r="AK25" i="6" s="1"/>
  <c r="AI26" i="6"/>
  <c r="AK26" i="6" s="1"/>
  <c r="AI27" i="6"/>
  <c r="AK27" i="6" s="1"/>
  <c r="AI28" i="6"/>
  <c r="AI29" i="6"/>
  <c r="AI30" i="6"/>
  <c r="AK30" i="6" s="1"/>
  <c r="AI31" i="6"/>
  <c r="AK31" i="6" s="1"/>
  <c r="AI32" i="6"/>
  <c r="AK32" i="6" s="1"/>
  <c r="AI33" i="6"/>
  <c r="AK33" i="6" s="1"/>
  <c r="AI34" i="6"/>
  <c r="AK34" i="6" s="1"/>
  <c r="AI35" i="6"/>
  <c r="AK35" i="6" s="1"/>
  <c r="AI36" i="6"/>
  <c r="AK36" i="6" s="1"/>
  <c r="AI37" i="6"/>
  <c r="AI38" i="6"/>
  <c r="AK38" i="6" s="1"/>
  <c r="AI39" i="6"/>
  <c r="AI40" i="6"/>
  <c r="AI41" i="6"/>
  <c r="AK41" i="6" s="1"/>
  <c r="AK40" i="6" s="1"/>
  <c r="AI42" i="6"/>
  <c r="AI43" i="6"/>
  <c r="AK43" i="6" s="1"/>
  <c r="AI44" i="6"/>
  <c r="AI45" i="6"/>
  <c r="AI46" i="6"/>
  <c r="AK46" i="6" s="1"/>
  <c r="AK45" i="6" s="1"/>
  <c r="AI47" i="6"/>
  <c r="AI48" i="6"/>
  <c r="AI49" i="6"/>
  <c r="AK49" i="6" s="1"/>
  <c r="AK48" i="6" s="1"/>
  <c r="AI50" i="6"/>
  <c r="AI51" i="6"/>
  <c r="AK51" i="6" s="1"/>
  <c r="AK50" i="6" s="1"/>
  <c r="AI52" i="6"/>
  <c r="AI53" i="6"/>
  <c r="AK53" i="6" s="1"/>
  <c r="AK52" i="6" s="1"/>
  <c r="AI54" i="6"/>
  <c r="AI55" i="6"/>
  <c r="AK55" i="6" s="1"/>
  <c r="AK54" i="6" s="1"/>
  <c r="AI56" i="6"/>
  <c r="AI57" i="6"/>
  <c r="AK57" i="6" s="1"/>
  <c r="AI58" i="6"/>
  <c r="AI59" i="6"/>
  <c r="AI60" i="6"/>
  <c r="AI61" i="6"/>
  <c r="AK61" i="6" s="1"/>
  <c r="AI62" i="6"/>
  <c r="AI63" i="6"/>
  <c r="AK63" i="6" s="1"/>
  <c r="AI64" i="6"/>
  <c r="AK64" i="6" s="1"/>
  <c r="AI65" i="6"/>
  <c r="AK65" i="6" s="1"/>
  <c r="AI66" i="6"/>
  <c r="AK66" i="6" s="1"/>
  <c r="AI67" i="6"/>
  <c r="AK67" i="6" s="1"/>
  <c r="AI68" i="6"/>
  <c r="AK68" i="6" s="1"/>
  <c r="AI69" i="6"/>
  <c r="AK69" i="6" s="1"/>
  <c r="AI70" i="6"/>
  <c r="AI71" i="6"/>
  <c r="AK71" i="6" s="1"/>
  <c r="AI72" i="6"/>
  <c r="AK72" i="6" s="1"/>
  <c r="AI73" i="6"/>
  <c r="AK73" i="6" s="1"/>
  <c r="AI74" i="6"/>
  <c r="AK74" i="6" s="1"/>
  <c r="AI75" i="6"/>
  <c r="AK75" i="6" s="1"/>
  <c r="AI76" i="6"/>
  <c r="AK76" i="6" s="1"/>
  <c r="AI77" i="6"/>
  <c r="AI78" i="6"/>
  <c r="AI79" i="6"/>
  <c r="AI80" i="6"/>
  <c r="AK80" i="6" s="1"/>
  <c r="AI81" i="6"/>
  <c r="AI82" i="6"/>
  <c r="AI83" i="6"/>
  <c r="AI84" i="6"/>
  <c r="AI85" i="6"/>
  <c r="AK85" i="6" s="1"/>
  <c r="AI86" i="6"/>
  <c r="AI87" i="6"/>
  <c r="AI88" i="6"/>
  <c r="AI89" i="6"/>
  <c r="AI90" i="6"/>
  <c r="AI91" i="6"/>
  <c r="AI92" i="6"/>
  <c r="AK92" i="6" s="1"/>
  <c r="AI93" i="6"/>
  <c r="AI94" i="6"/>
  <c r="AI95" i="6"/>
  <c r="AK95" i="6" s="1"/>
  <c r="AK94" i="6" s="1"/>
  <c r="AI96" i="6"/>
  <c r="AI97" i="6"/>
  <c r="AI98" i="6"/>
  <c r="AK98" i="6" s="1"/>
  <c r="AI99" i="6"/>
  <c r="AK99" i="6" s="1"/>
  <c r="AI100" i="6"/>
  <c r="AK100" i="6" s="1"/>
  <c r="AI101" i="6"/>
  <c r="AI102" i="6"/>
  <c r="AI103" i="6"/>
  <c r="AI104" i="6"/>
  <c r="AI105" i="6"/>
  <c r="AI106" i="6"/>
  <c r="AI107" i="6"/>
  <c r="AK107" i="6" s="1"/>
  <c r="AI108" i="6"/>
  <c r="AI109" i="6"/>
  <c r="AI110" i="6"/>
  <c r="AI111" i="6"/>
  <c r="AK111" i="6" s="1"/>
  <c r="AK110" i="6" s="1"/>
  <c r="AI112" i="6"/>
  <c r="AI113" i="6"/>
  <c r="AI114" i="6"/>
  <c r="AI115" i="6"/>
  <c r="AK115" i="6" s="1"/>
  <c r="AK114" i="6" s="1"/>
  <c r="AI116" i="6"/>
  <c r="AI117" i="6"/>
  <c r="AI118" i="6"/>
  <c r="AI119" i="6"/>
  <c r="AI120" i="6"/>
  <c r="AK120" i="6" s="1"/>
  <c r="AK119" i="6" s="1"/>
  <c r="AI121" i="6"/>
  <c r="AI122" i="6"/>
  <c r="AI123" i="6"/>
  <c r="AI124" i="6"/>
  <c r="AK124" i="6" s="1"/>
  <c r="AI125" i="6"/>
  <c r="AI126" i="6"/>
  <c r="AI127" i="6"/>
  <c r="AK127" i="6" s="1"/>
  <c r="AI128" i="6"/>
  <c r="AK128" i="6" s="1"/>
  <c r="AI129" i="6"/>
  <c r="AI130" i="6"/>
  <c r="AI131" i="6"/>
  <c r="AI132" i="6"/>
  <c r="AK132" i="6" s="1"/>
  <c r="AI133" i="6"/>
  <c r="AK133" i="6" s="1"/>
  <c r="AI134" i="6"/>
  <c r="AI135" i="6"/>
  <c r="AI136" i="6"/>
  <c r="AI137" i="6"/>
  <c r="AI138" i="6"/>
  <c r="AK138" i="6" s="1"/>
  <c r="AI139" i="6"/>
  <c r="AK139" i="6" s="1"/>
  <c r="AI140" i="6"/>
  <c r="AI141" i="6"/>
  <c r="AI142" i="6"/>
  <c r="AK142" i="6" s="1"/>
  <c r="AI143" i="6"/>
  <c r="AI144" i="6"/>
  <c r="AI145" i="6"/>
  <c r="AI146" i="6"/>
  <c r="AI147" i="6"/>
  <c r="AI148" i="6"/>
  <c r="AI149" i="6"/>
  <c r="AK149" i="6" s="1"/>
  <c r="AI150" i="6"/>
  <c r="AI151" i="6"/>
  <c r="AK151" i="6" s="1"/>
  <c r="AI152" i="6"/>
  <c r="AI153" i="6"/>
  <c r="AI154" i="6"/>
  <c r="AK154" i="6" s="1"/>
  <c r="AI155" i="6"/>
  <c r="AK155" i="6" s="1"/>
  <c r="AI11" i="6"/>
  <c r="AK78" i="6"/>
  <c r="AK62" i="6"/>
  <c r="AK162" i="6"/>
  <c r="B11" i="6"/>
  <c r="B12" i="6"/>
  <c r="B13" i="6"/>
  <c r="B14" i="6"/>
  <c r="B17" i="6"/>
  <c r="B18" i="6"/>
  <c r="B20" i="6"/>
  <c r="B22" i="6"/>
  <c r="B23" i="6"/>
  <c r="B28" i="6"/>
  <c r="B37" i="6"/>
  <c r="B39" i="6"/>
  <c r="B40" i="6"/>
  <c r="B42" i="6"/>
  <c r="B44" i="6"/>
  <c r="B45" i="6"/>
  <c r="B47" i="6"/>
  <c r="B48" i="6"/>
  <c r="B50" i="6"/>
  <c r="B52" i="6"/>
  <c r="B54" i="6"/>
  <c r="B56" i="6"/>
  <c r="B58" i="6"/>
  <c r="B59" i="6"/>
  <c r="B60" i="6"/>
  <c r="B70" i="6"/>
  <c r="B77" i="6"/>
  <c r="B79" i="6"/>
  <c r="B81" i="6"/>
  <c r="B82" i="6"/>
  <c r="B83" i="6"/>
  <c r="B84" i="6"/>
  <c r="B86" i="6"/>
  <c r="B87" i="6"/>
  <c r="B88" i="6"/>
  <c r="B89" i="6"/>
  <c r="B90" i="6"/>
  <c r="B91" i="6"/>
  <c r="B93" i="6"/>
  <c r="B94" i="6"/>
  <c r="B96" i="6"/>
  <c r="B97" i="6"/>
  <c r="B99" i="6"/>
  <c r="B100" i="6"/>
  <c r="B101" i="6"/>
  <c r="B103" i="6"/>
  <c r="B104" i="6"/>
  <c r="B105" i="6"/>
  <c r="B106" i="6"/>
  <c r="B108" i="6"/>
  <c r="B109" i="6"/>
  <c r="B110" i="6"/>
  <c r="B112" i="6"/>
  <c r="B113" i="6"/>
  <c r="B114" i="6"/>
  <c r="B116" i="6"/>
  <c r="B117" i="6"/>
  <c r="B118" i="6"/>
  <c r="B119" i="6"/>
  <c r="B121" i="6"/>
  <c r="B122" i="6"/>
  <c r="B123" i="6"/>
  <c r="B125" i="6"/>
  <c r="B126" i="6"/>
  <c r="B129" i="6"/>
  <c r="B130" i="6"/>
  <c r="B131" i="6"/>
  <c r="B134" i="6"/>
  <c r="B136" i="6"/>
  <c r="B139" i="6"/>
  <c r="B140" i="6"/>
  <c r="B141" i="6"/>
  <c r="B142" i="6"/>
  <c r="B143" i="6"/>
  <c r="B144" i="6"/>
  <c r="B145" i="6"/>
  <c r="B146" i="6"/>
  <c r="B147" i="6"/>
  <c r="B148" i="6"/>
  <c r="B150" i="6"/>
  <c r="B152" i="6"/>
  <c r="B153" i="6"/>
  <c r="B155" i="6"/>
  <c r="S135" i="6"/>
  <c r="P6" i="6" l="1"/>
  <c r="AK83" i="6"/>
  <c r="AK44" i="6"/>
  <c r="AK104" i="6"/>
  <c r="AK136" i="6"/>
  <c r="AK135" i="6" s="1"/>
  <c r="AK39" i="6"/>
  <c r="AK37" i="6" s="1"/>
  <c r="AK103" i="6"/>
  <c r="AK102" i="6" s="1"/>
  <c r="AK118" i="6"/>
  <c r="AK143" i="6"/>
  <c r="AK144" i="6"/>
  <c r="AK117" i="6"/>
  <c r="AK141" i="6"/>
  <c r="AK84" i="6"/>
  <c r="AK125" i="6"/>
  <c r="AK58" i="6"/>
  <c r="AK82" i="6"/>
  <c r="AK18" i="6"/>
  <c r="AK113" i="6"/>
  <c r="AK112" i="6" s="1"/>
  <c r="AK109" i="6" s="1"/>
  <c r="AK81" i="6"/>
  <c r="AK17" i="6"/>
  <c r="AK89" i="6"/>
  <c r="AK88" i="6" s="1"/>
  <c r="AK87" i="6" s="1"/>
  <c r="AK56" i="6"/>
  <c r="AK123" i="6"/>
  <c r="AK146" i="6"/>
  <c r="AK108" i="6"/>
  <c r="AK106" i="6" s="1"/>
  <c r="AK97" i="6"/>
  <c r="AK96" i="6" s="1"/>
  <c r="AK145" i="6"/>
  <c r="AK152" i="6"/>
  <c r="AK105" i="6"/>
  <c r="AK42" i="6"/>
  <c r="AK150" i="6"/>
  <c r="AK77" i="6"/>
  <c r="AK14" i="6"/>
  <c r="AK153" i="6"/>
  <c r="AK137" i="6"/>
  <c r="AK79" i="6"/>
  <c r="AK20" i="6"/>
  <c r="AK93" i="6"/>
  <c r="AK148" i="6"/>
  <c r="AK23" i="6"/>
  <c r="AK131" i="6"/>
  <c r="AK91" i="6"/>
  <c r="AK90" i="6" s="1"/>
  <c r="AK29" i="6"/>
  <c r="AK28" i="6" s="1"/>
  <c r="AK70" i="6"/>
  <c r="AK60" i="6"/>
  <c r="AK126" i="6"/>
  <c r="AK47" i="6"/>
  <c r="S12" i="6"/>
  <c r="S13" i="6"/>
  <c r="S14" i="6"/>
  <c r="S15" i="6"/>
  <c r="C15" i="6" s="1"/>
  <c r="S16" i="6"/>
  <c r="C16" i="6" s="1"/>
  <c r="S17" i="6"/>
  <c r="C17" i="6" s="1"/>
  <c r="S18" i="6"/>
  <c r="C18" i="6" s="1"/>
  <c r="S19" i="6"/>
  <c r="C19" i="6" s="1"/>
  <c r="S20" i="6"/>
  <c r="S21" i="6"/>
  <c r="C21" i="6" s="1"/>
  <c r="S22" i="6"/>
  <c r="S23" i="6"/>
  <c r="S24" i="6"/>
  <c r="C24" i="6" s="1"/>
  <c r="S25" i="6"/>
  <c r="C25" i="6" s="1"/>
  <c r="S26" i="6"/>
  <c r="C26" i="6" s="1"/>
  <c r="S27" i="6"/>
  <c r="C27" i="6" s="1"/>
  <c r="S28" i="6"/>
  <c r="S29" i="6"/>
  <c r="S30" i="6"/>
  <c r="C30" i="6" s="1"/>
  <c r="S31" i="6"/>
  <c r="C31" i="6" s="1"/>
  <c r="S32" i="6"/>
  <c r="C32" i="6" s="1"/>
  <c r="S33" i="6"/>
  <c r="C33" i="6" s="1"/>
  <c r="S34" i="6"/>
  <c r="C34" i="6" s="1"/>
  <c r="S35" i="6"/>
  <c r="C35" i="6" s="1"/>
  <c r="S36" i="6"/>
  <c r="C36" i="6" s="1"/>
  <c r="S37" i="6"/>
  <c r="S38" i="6"/>
  <c r="C38" i="6" s="1"/>
  <c r="S39" i="6"/>
  <c r="C39" i="6" s="1"/>
  <c r="S40" i="6"/>
  <c r="S41" i="6"/>
  <c r="C41" i="6" s="1"/>
  <c r="C40" i="6" s="1"/>
  <c r="S42" i="6"/>
  <c r="S43" i="6"/>
  <c r="C43" i="6" s="1"/>
  <c r="S44" i="6"/>
  <c r="C44" i="6" s="1"/>
  <c r="S45" i="6"/>
  <c r="S46" i="6"/>
  <c r="C46" i="6" s="1"/>
  <c r="C45" i="6" s="1"/>
  <c r="S47" i="6"/>
  <c r="S48" i="6"/>
  <c r="S49" i="6"/>
  <c r="C49" i="6" s="1"/>
  <c r="C48" i="6" s="1"/>
  <c r="S50" i="6"/>
  <c r="S51" i="6"/>
  <c r="C51" i="6" s="1"/>
  <c r="C50" i="6" s="1"/>
  <c r="S52" i="6"/>
  <c r="S53" i="6"/>
  <c r="C53" i="6" s="1"/>
  <c r="C52" i="6" s="1"/>
  <c r="S54" i="6"/>
  <c r="S55" i="6"/>
  <c r="C55" i="6" s="1"/>
  <c r="C54" i="6" s="1"/>
  <c r="S56" i="6"/>
  <c r="S57" i="6"/>
  <c r="C57" i="6" s="1"/>
  <c r="S58" i="6"/>
  <c r="C58" i="6" s="1"/>
  <c r="S59" i="6"/>
  <c r="S60" i="6"/>
  <c r="S61" i="6"/>
  <c r="C61" i="6" s="1"/>
  <c r="S62" i="6"/>
  <c r="C62" i="6" s="1"/>
  <c r="S63" i="6"/>
  <c r="C63" i="6" s="1"/>
  <c r="S64" i="6"/>
  <c r="C64" i="6" s="1"/>
  <c r="S65" i="6"/>
  <c r="C65" i="6" s="1"/>
  <c r="S66" i="6"/>
  <c r="C66" i="6" s="1"/>
  <c r="S67" i="6"/>
  <c r="C67" i="6" s="1"/>
  <c r="S68" i="6"/>
  <c r="C68" i="6" s="1"/>
  <c r="S69" i="6"/>
  <c r="C69" i="6" s="1"/>
  <c r="S70" i="6"/>
  <c r="S71" i="6"/>
  <c r="C71" i="6" s="1"/>
  <c r="S72" i="6"/>
  <c r="C72" i="6" s="1"/>
  <c r="S73" i="6"/>
  <c r="C73" i="6" s="1"/>
  <c r="S74" i="6"/>
  <c r="C74" i="6" s="1"/>
  <c r="S75" i="6"/>
  <c r="C75" i="6" s="1"/>
  <c r="S76" i="6"/>
  <c r="C76" i="6" s="1"/>
  <c r="S77" i="6"/>
  <c r="S78" i="6"/>
  <c r="C78" i="6" s="1"/>
  <c r="S79" i="6"/>
  <c r="S80" i="6"/>
  <c r="C80" i="6" s="1"/>
  <c r="S81" i="6"/>
  <c r="C81" i="6" s="1"/>
  <c r="S82" i="6"/>
  <c r="C82" i="6" s="1"/>
  <c r="S83" i="6"/>
  <c r="C83" i="6" s="1"/>
  <c r="S84" i="6"/>
  <c r="C84" i="6" s="1"/>
  <c r="S85" i="6"/>
  <c r="C85" i="6" s="1"/>
  <c r="S86" i="6"/>
  <c r="S87" i="6"/>
  <c r="S88" i="6"/>
  <c r="S89" i="6"/>
  <c r="C89" i="6" s="1"/>
  <c r="C88" i="6" s="1"/>
  <c r="S90" i="6"/>
  <c r="S91" i="6"/>
  <c r="S92" i="6"/>
  <c r="C92" i="6" s="1"/>
  <c r="S93" i="6"/>
  <c r="S94" i="6"/>
  <c r="S95" i="6"/>
  <c r="C95" i="6" s="1"/>
  <c r="C94" i="6" s="1"/>
  <c r="S96" i="6"/>
  <c r="S97" i="6"/>
  <c r="C97" i="6" s="1"/>
  <c r="S98" i="6"/>
  <c r="C98" i="6" s="1"/>
  <c r="S99" i="6"/>
  <c r="C99" i="6" s="1"/>
  <c r="S100" i="6"/>
  <c r="C100" i="6" s="1"/>
  <c r="S101" i="6"/>
  <c r="S102" i="6"/>
  <c r="S103" i="6"/>
  <c r="C103" i="6" s="1"/>
  <c r="C102" i="6" s="1"/>
  <c r="S104" i="6"/>
  <c r="C104" i="6" s="1"/>
  <c r="S105" i="6"/>
  <c r="C105" i="6" s="1"/>
  <c r="S106" i="6"/>
  <c r="S107" i="6"/>
  <c r="C107" i="6" s="1"/>
  <c r="S108" i="6"/>
  <c r="C108" i="6" s="1"/>
  <c r="S109" i="6"/>
  <c r="S110" i="6"/>
  <c r="S111" i="6"/>
  <c r="C111" i="6" s="1"/>
  <c r="C110" i="6" s="1"/>
  <c r="S112" i="6"/>
  <c r="S113" i="6"/>
  <c r="C113" i="6" s="1"/>
  <c r="S114" i="6"/>
  <c r="S115" i="6"/>
  <c r="C115" i="6" s="1"/>
  <c r="C114" i="6" s="1"/>
  <c r="S116" i="6"/>
  <c r="S117" i="6"/>
  <c r="C117" i="6" s="1"/>
  <c r="S118" i="6"/>
  <c r="C118" i="6" s="1"/>
  <c r="S119" i="6"/>
  <c r="S120" i="6"/>
  <c r="C120" i="6" s="1"/>
  <c r="C119" i="6" s="1"/>
  <c r="S121" i="6"/>
  <c r="S122" i="6"/>
  <c r="S123" i="6"/>
  <c r="S124" i="6"/>
  <c r="C124" i="6" s="1"/>
  <c r="S125" i="6"/>
  <c r="C125" i="6" s="1"/>
  <c r="S126" i="6"/>
  <c r="S127" i="6"/>
  <c r="C127" i="6" s="1"/>
  <c r="S128" i="6"/>
  <c r="C128" i="6" s="1"/>
  <c r="S129" i="6"/>
  <c r="S130" i="6"/>
  <c r="S131" i="6"/>
  <c r="S132" i="6"/>
  <c r="C132" i="6" s="1"/>
  <c r="S133" i="6"/>
  <c r="C133" i="6" s="1"/>
  <c r="S134" i="6"/>
  <c r="S136" i="6"/>
  <c r="C136" i="6" s="1"/>
  <c r="C135" i="6" s="1"/>
  <c r="S137" i="6"/>
  <c r="S138" i="6"/>
  <c r="C138" i="6" s="1"/>
  <c r="S139" i="6"/>
  <c r="C139" i="6" s="1"/>
  <c r="S140" i="6"/>
  <c r="S141" i="6"/>
  <c r="C141" i="6" s="1"/>
  <c r="S142" i="6"/>
  <c r="C142" i="6" s="1"/>
  <c r="S143" i="6"/>
  <c r="C143" i="6" s="1"/>
  <c r="S144" i="6"/>
  <c r="C144" i="6" s="1"/>
  <c r="S145" i="6"/>
  <c r="C145" i="6" s="1"/>
  <c r="S146" i="6"/>
  <c r="C146" i="6" s="1"/>
  <c r="S147" i="6"/>
  <c r="S148" i="6"/>
  <c r="S149" i="6"/>
  <c r="C149" i="6" s="1"/>
  <c r="S150" i="6"/>
  <c r="S151" i="6"/>
  <c r="C151" i="6" s="1"/>
  <c r="S152" i="6"/>
  <c r="C152" i="6" s="1"/>
  <c r="S153" i="6"/>
  <c r="S154" i="6"/>
  <c r="C154" i="6" s="1"/>
  <c r="S155" i="6"/>
  <c r="C155" i="6" s="1"/>
  <c r="S157" i="6"/>
  <c r="S158" i="6"/>
  <c r="S159" i="6"/>
  <c r="S160" i="6"/>
  <c r="S161" i="6"/>
  <c r="C161" i="6" s="1"/>
  <c r="C160" i="6" s="1"/>
  <c r="S162" i="6"/>
  <c r="S163" i="6"/>
  <c r="C163" i="6" s="1"/>
  <c r="S164" i="6"/>
  <c r="C164" i="6" s="1"/>
  <c r="S165" i="6"/>
  <c r="C165" i="6" s="1"/>
  <c r="S166" i="6"/>
  <c r="C166" i="6" s="1"/>
  <c r="S167" i="6"/>
  <c r="C167" i="6" s="1"/>
  <c r="S168" i="6"/>
  <c r="C168" i="6" s="1"/>
  <c r="S169" i="6"/>
  <c r="C169" i="6" s="1"/>
  <c r="S170" i="6"/>
  <c r="C170" i="6" s="1"/>
  <c r="S171" i="6"/>
  <c r="C171" i="6" s="1"/>
  <c r="S172" i="6"/>
  <c r="C172" i="6" s="1"/>
  <c r="S173" i="6"/>
  <c r="C173" i="6" s="1"/>
  <c r="S174" i="6"/>
  <c r="C174" i="6" s="1"/>
  <c r="S175" i="6"/>
  <c r="C175" i="6" s="1"/>
  <c r="S176" i="6"/>
  <c r="C176" i="6" s="1"/>
  <c r="S177" i="6"/>
  <c r="C177" i="6" s="1"/>
  <c r="S178" i="6"/>
  <c r="C178" i="6" s="1"/>
  <c r="S179" i="6"/>
  <c r="C179" i="6" s="1"/>
  <c r="S180" i="6"/>
  <c r="S181" i="6"/>
  <c r="S182" i="6"/>
  <c r="C182" i="6" s="1"/>
  <c r="S183" i="6"/>
  <c r="C183" i="6" s="1"/>
  <c r="S184" i="6"/>
  <c r="C184" i="6" s="1"/>
  <c r="S185" i="6"/>
  <c r="C185" i="6" s="1"/>
  <c r="S186" i="6"/>
  <c r="C186" i="6" s="1"/>
  <c r="S187" i="6"/>
  <c r="C187" i="6" s="1"/>
  <c r="S188" i="6"/>
  <c r="S189" i="6"/>
  <c r="S190" i="6"/>
  <c r="S191" i="6"/>
  <c r="C191" i="6" s="1"/>
  <c r="S192" i="6"/>
  <c r="S193" i="6"/>
  <c r="S194" i="6"/>
  <c r="C194" i="6" s="1"/>
  <c r="S195" i="6"/>
  <c r="S196" i="6"/>
  <c r="S197" i="6"/>
  <c r="S198" i="6"/>
  <c r="C198" i="6" s="1"/>
  <c r="S199" i="6"/>
  <c r="S200" i="6"/>
  <c r="S201" i="6"/>
  <c r="C201" i="6" s="1"/>
  <c r="S202" i="6"/>
  <c r="S203" i="6"/>
  <c r="C203" i="6" s="1"/>
  <c r="S204" i="6"/>
  <c r="C204" i="6" s="1"/>
  <c r="S205" i="6"/>
  <c r="C205" i="6" s="1"/>
  <c r="S206" i="6"/>
  <c r="C206" i="6" s="1"/>
  <c r="S207" i="6"/>
  <c r="C207" i="6" s="1"/>
  <c r="S208" i="6"/>
  <c r="S209" i="6"/>
  <c r="C209" i="6" s="1"/>
  <c r="S210" i="6"/>
  <c r="C210" i="6" s="1"/>
  <c r="S211" i="6"/>
  <c r="C211" i="6" s="1"/>
  <c r="S212" i="6"/>
  <c r="C212" i="6" s="1"/>
  <c r="S213" i="6"/>
  <c r="C213" i="6" s="1"/>
  <c r="S214" i="6"/>
  <c r="C214" i="6" s="1"/>
  <c r="S215" i="6"/>
  <c r="S216" i="6"/>
  <c r="S217" i="6"/>
  <c r="C217" i="6" s="1"/>
  <c r="C216" i="6" s="1"/>
  <c r="S218" i="6"/>
  <c r="S219" i="6"/>
  <c r="C219" i="6" s="1"/>
  <c r="C218" i="6" s="1"/>
  <c r="S220" i="6"/>
  <c r="S221" i="6"/>
  <c r="C221" i="6" s="1"/>
  <c r="S222" i="6"/>
  <c r="C222" i="6" s="1"/>
  <c r="S223" i="6"/>
  <c r="C223" i="6" s="1"/>
  <c r="S224" i="6"/>
  <c r="C224" i="6" s="1"/>
  <c r="S225" i="6"/>
  <c r="S226" i="6"/>
  <c r="C226" i="6" s="1"/>
  <c r="S227" i="6"/>
  <c r="C227" i="6" s="1"/>
  <c r="S228" i="6"/>
  <c r="S229" i="6"/>
  <c r="S230" i="6"/>
  <c r="S231" i="6"/>
  <c r="C231" i="6" s="1"/>
  <c r="C230" i="6" s="1"/>
  <c r="S232" i="6"/>
  <c r="C232" i="6" s="1"/>
  <c r="S233" i="6"/>
  <c r="S234" i="6"/>
  <c r="C234" i="6" s="1"/>
  <c r="C233" i="6" s="1"/>
  <c r="S235" i="6"/>
  <c r="C235" i="6" s="1"/>
  <c r="S236" i="6"/>
  <c r="S237" i="6"/>
  <c r="C237" i="6" s="1"/>
  <c r="C236" i="6" s="1"/>
  <c r="S238" i="6"/>
  <c r="C238" i="6" s="1"/>
  <c r="S239" i="6"/>
  <c r="C239" i="6" s="1"/>
  <c r="S240" i="6"/>
  <c r="S241" i="6"/>
  <c r="C241" i="6" s="1"/>
  <c r="C240" i="6" s="1"/>
  <c r="S242" i="6"/>
  <c r="C242" i="6" s="1"/>
  <c r="S243" i="6"/>
  <c r="S244" i="6"/>
  <c r="C244" i="6" s="1"/>
  <c r="S245" i="6"/>
  <c r="S246" i="6"/>
  <c r="C246" i="6" s="1"/>
  <c r="S247" i="6"/>
  <c r="C247" i="6" s="1"/>
  <c r="S248" i="6"/>
  <c r="C248" i="6" s="1"/>
  <c r="S249" i="6"/>
  <c r="C249" i="6" s="1"/>
  <c r="S250" i="6"/>
  <c r="C250" i="6" s="1"/>
  <c r="S251" i="6"/>
  <c r="C251" i="6" s="1"/>
  <c r="S252" i="6"/>
  <c r="S253" i="6"/>
  <c r="C253" i="6" s="1"/>
  <c r="C252" i="6" s="1"/>
  <c r="S254" i="6"/>
  <c r="S255" i="6"/>
  <c r="C255" i="6" s="1"/>
  <c r="C254" i="6" s="1"/>
  <c r="S256" i="6"/>
  <c r="C256" i="6" s="1"/>
  <c r="S257" i="6"/>
  <c r="C257" i="6" s="1"/>
  <c r="S258" i="6"/>
  <c r="C258" i="6" s="1"/>
  <c r="S259" i="6"/>
  <c r="S260" i="6"/>
  <c r="S261" i="6"/>
  <c r="C261" i="6" s="1"/>
  <c r="C260" i="6" s="1"/>
  <c r="S262" i="6"/>
  <c r="S263" i="6"/>
  <c r="C263" i="6" s="1"/>
  <c r="C262" i="6" s="1"/>
  <c r="S264" i="6"/>
  <c r="S265" i="6"/>
  <c r="C265" i="6" s="1"/>
  <c r="C264" i="6" s="1"/>
  <c r="S266" i="6"/>
  <c r="S267" i="6"/>
  <c r="C267" i="6" s="1"/>
  <c r="C266" i="6" s="1"/>
  <c r="S268" i="6"/>
  <c r="C268" i="6" s="1"/>
  <c r="S269" i="6"/>
  <c r="S270" i="6"/>
  <c r="S271" i="6"/>
  <c r="C271" i="6" s="1"/>
  <c r="S272" i="6"/>
  <c r="S273" i="6"/>
  <c r="S274" i="6"/>
  <c r="C274" i="6" s="1"/>
  <c r="S275" i="6"/>
  <c r="C275" i="6" s="1"/>
  <c r="S276" i="6"/>
  <c r="C276" i="6" s="1"/>
  <c r="S277" i="6"/>
  <c r="C277" i="6" s="1"/>
  <c r="S278" i="6"/>
  <c r="C278" i="6" s="1"/>
  <c r="S279" i="6"/>
  <c r="C279" i="6" s="1"/>
  <c r="S280" i="6"/>
  <c r="C280" i="6" s="1"/>
  <c r="S281" i="6"/>
  <c r="S282" i="6"/>
  <c r="C282" i="6" s="1"/>
  <c r="S283" i="6"/>
  <c r="S284" i="6"/>
  <c r="C284" i="6" s="1"/>
  <c r="C283" i="6" s="1"/>
  <c r="S285" i="6"/>
  <c r="C285" i="6" s="1"/>
  <c r="S286" i="6"/>
  <c r="C286" i="6" s="1"/>
  <c r="S287" i="6"/>
  <c r="S288" i="6"/>
  <c r="S289" i="6"/>
  <c r="C289" i="6" s="1"/>
  <c r="C288" i="6" s="1"/>
  <c r="S290" i="6"/>
  <c r="C290" i="6" s="1"/>
  <c r="S291" i="6"/>
  <c r="C291" i="6" s="1"/>
  <c r="S292" i="6"/>
  <c r="C292" i="6" s="1"/>
  <c r="S293" i="6"/>
  <c r="S294" i="6"/>
  <c r="C294" i="6" s="1"/>
  <c r="C293" i="6" s="1"/>
  <c r="S295" i="6"/>
  <c r="S296" i="6"/>
  <c r="S297" i="6"/>
  <c r="C297" i="6" s="1"/>
  <c r="S298" i="6"/>
  <c r="C298" i="6" s="1"/>
  <c r="S299" i="6"/>
  <c r="C299" i="6" s="1"/>
  <c r="S300" i="6"/>
  <c r="C300" i="6" s="1"/>
  <c r="S301" i="6"/>
  <c r="C301" i="6" s="1"/>
  <c r="S302" i="6"/>
  <c r="C302" i="6" s="1"/>
  <c r="S303" i="6"/>
  <c r="S304" i="6"/>
  <c r="C304" i="6" s="1"/>
  <c r="S305" i="6"/>
  <c r="C305" i="6" s="1"/>
  <c r="S306" i="6"/>
  <c r="C306" i="6" s="1"/>
  <c r="S307" i="6"/>
  <c r="C307" i="6" s="1"/>
  <c r="S308" i="6"/>
  <c r="S309" i="6"/>
  <c r="C309" i="6" s="1"/>
  <c r="S310" i="6"/>
  <c r="C310" i="6" s="1"/>
  <c r="S311" i="6"/>
  <c r="S312" i="6"/>
  <c r="C312" i="6" s="1"/>
  <c r="S313" i="6"/>
  <c r="C313" i="6" s="1"/>
  <c r="S314" i="6"/>
  <c r="C314" i="6" s="1"/>
  <c r="S315" i="6"/>
  <c r="C315" i="6" s="1"/>
  <c r="S316" i="6"/>
  <c r="S317" i="6"/>
  <c r="S318" i="6"/>
  <c r="C318" i="6" s="1"/>
  <c r="S319" i="6"/>
  <c r="C319" i="6" s="1"/>
  <c r="S320" i="6"/>
  <c r="C320" i="6" s="1"/>
  <c r="S321" i="6"/>
  <c r="C321" i="6" s="1"/>
  <c r="S322" i="6"/>
  <c r="C322" i="6" s="1"/>
  <c r="S323" i="6"/>
  <c r="C323" i="6" s="1"/>
  <c r="S324" i="6"/>
  <c r="C324" i="6" s="1"/>
  <c r="S325" i="6"/>
  <c r="S326" i="6"/>
  <c r="C326" i="6" s="1"/>
  <c r="S327" i="6"/>
  <c r="S328" i="6"/>
  <c r="C328" i="6" s="1"/>
  <c r="C327" i="6" s="1"/>
  <c r="S329" i="6"/>
  <c r="C329" i="6" s="1"/>
  <c r="S330" i="6"/>
  <c r="S331" i="6"/>
  <c r="C331" i="6" s="1"/>
  <c r="S332" i="6"/>
  <c r="C332" i="6" s="1"/>
  <c r="S333" i="6"/>
  <c r="S334" i="6"/>
  <c r="C334" i="6" s="1"/>
  <c r="C333" i="6" s="1"/>
  <c r="S335" i="6"/>
  <c r="C335" i="6" s="1"/>
  <c r="S336" i="6"/>
  <c r="S337" i="6"/>
  <c r="S338" i="6"/>
  <c r="C338" i="6" s="1"/>
  <c r="S339" i="6"/>
  <c r="C339" i="6" s="1"/>
  <c r="S340" i="6"/>
  <c r="C340" i="6" s="1"/>
  <c r="S341" i="6"/>
  <c r="C341" i="6" s="1"/>
  <c r="S342" i="6"/>
  <c r="C342" i="6" s="1"/>
  <c r="S343" i="6"/>
  <c r="S344" i="6"/>
  <c r="C344" i="6" s="1"/>
  <c r="S345" i="6"/>
  <c r="C345" i="6" s="1"/>
  <c r="S346" i="6"/>
  <c r="C346" i="6" s="1"/>
  <c r="S347" i="6"/>
  <c r="S348" i="6"/>
  <c r="C348" i="6" s="1"/>
  <c r="S349" i="6"/>
  <c r="C349" i="6" s="1"/>
  <c r="S350" i="6"/>
  <c r="C350" i="6" s="1"/>
  <c r="S351" i="6"/>
  <c r="C351" i="6" s="1"/>
  <c r="S352" i="6"/>
  <c r="S353" i="6"/>
  <c r="C353" i="6" s="1"/>
  <c r="C352" i="6" s="1"/>
  <c r="S355" i="6"/>
  <c r="S356" i="6"/>
  <c r="S357" i="6"/>
  <c r="S358" i="6"/>
  <c r="C358" i="6" s="1"/>
  <c r="C357" i="6" s="1"/>
  <c r="S359" i="6"/>
  <c r="C359" i="6" s="1"/>
  <c r="S360" i="6"/>
  <c r="C360" i="6" s="1"/>
  <c r="S361" i="6"/>
  <c r="S362" i="6"/>
  <c r="C362" i="6" s="1"/>
  <c r="S363" i="6"/>
  <c r="S364" i="6"/>
  <c r="C364" i="6" s="1"/>
  <c r="S365" i="6"/>
  <c r="C365" i="6" s="1"/>
  <c r="S366" i="6"/>
  <c r="C366" i="6" s="1"/>
  <c r="S367" i="6"/>
  <c r="C367" i="6" s="1"/>
  <c r="S368" i="6"/>
  <c r="C368" i="6" s="1"/>
  <c r="S369" i="6"/>
  <c r="S370" i="6"/>
  <c r="S371" i="6"/>
  <c r="C371" i="6" s="1"/>
  <c r="C370" i="6" s="1"/>
  <c r="C369" i="6" s="1"/>
  <c r="S372" i="6"/>
  <c r="S373" i="6"/>
  <c r="S374" i="6"/>
  <c r="C374" i="6" s="1"/>
  <c r="S375" i="6"/>
  <c r="C375" i="6" s="1"/>
  <c r="S376" i="6"/>
  <c r="S377" i="6"/>
  <c r="C377" i="6" s="1"/>
  <c r="S378" i="6"/>
  <c r="C378" i="6" s="1"/>
  <c r="S379" i="6"/>
  <c r="S380" i="6"/>
  <c r="C380" i="6" s="1"/>
  <c r="S381" i="6"/>
  <c r="C381" i="6" s="1"/>
  <c r="S382" i="6"/>
  <c r="S383" i="6"/>
  <c r="C383" i="6" s="1"/>
  <c r="S384" i="6"/>
  <c r="C384" i="6" s="1"/>
  <c r="S385" i="6"/>
  <c r="C385" i="6" s="1"/>
  <c r="S386" i="6"/>
  <c r="S387" i="6"/>
  <c r="C387" i="6" s="1"/>
  <c r="C386" i="6" s="1"/>
  <c r="S388" i="6"/>
  <c r="S389" i="6"/>
  <c r="C389" i="6" s="1"/>
  <c r="C388" i="6" s="1"/>
  <c r="S390" i="6"/>
  <c r="C390" i="6" s="1"/>
  <c r="S391" i="6"/>
  <c r="C391" i="6" s="1"/>
  <c r="S392" i="6"/>
  <c r="C392" i="6" s="1"/>
  <c r="S393" i="6"/>
  <c r="C393" i="6" s="1"/>
  <c r="S394" i="6"/>
  <c r="S395" i="6"/>
  <c r="S396" i="6"/>
  <c r="C396" i="6" s="1"/>
  <c r="S397" i="6"/>
  <c r="C397" i="6" s="1"/>
  <c r="S398" i="6"/>
  <c r="C398" i="6" s="1"/>
  <c r="S399" i="6"/>
  <c r="C399" i="6" s="1"/>
  <c r="S400" i="6"/>
  <c r="S401" i="6"/>
  <c r="C401" i="6" s="1"/>
  <c r="C400" i="6" s="1"/>
  <c r="S402" i="6"/>
  <c r="C402" i="6" s="1"/>
  <c r="S403" i="6"/>
  <c r="S404" i="6"/>
  <c r="S405" i="6"/>
  <c r="S406" i="6"/>
  <c r="C406" i="6" s="1"/>
  <c r="C405" i="6" s="1"/>
  <c r="S407" i="6"/>
  <c r="S408" i="6"/>
  <c r="C408" i="6" s="1"/>
  <c r="S409" i="6"/>
  <c r="C409" i="6" s="1"/>
  <c r="S410" i="6"/>
  <c r="S411" i="6"/>
  <c r="C411" i="6" s="1"/>
  <c r="C410" i="6" s="1"/>
  <c r="S412" i="6"/>
  <c r="S413" i="6"/>
  <c r="C413" i="6" s="1"/>
  <c r="C412" i="6" s="1"/>
  <c r="S414" i="6"/>
  <c r="C414" i="6" s="1"/>
  <c r="S415" i="6"/>
  <c r="C415" i="6" s="1"/>
  <c r="S416" i="6"/>
  <c r="C416" i="6" s="1"/>
  <c r="S417" i="6"/>
  <c r="S418" i="6"/>
  <c r="C418" i="6" s="1"/>
  <c r="S419" i="6"/>
  <c r="S420" i="6"/>
  <c r="S421" i="6"/>
  <c r="C421" i="6" s="1"/>
  <c r="S422" i="6"/>
  <c r="C422" i="6" s="1"/>
  <c r="S423" i="6"/>
  <c r="C423" i="6" s="1"/>
  <c r="S424" i="6"/>
  <c r="S425" i="6"/>
  <c r="C425" i="6" s="1"/>
  <c r="C424" i="6" s="1"/>
  <c r="S426" i="6"/>
  <c r="S427" i="6"/>
  <c r="C427" i="6" s="1"/>
  <c r="S428" i="6"/>
  <c r="C428" i="6" s="1"/>
  <c r="S429" i="6"/>
  <c r="C429" i="6" s="1"/>
  <c r="S430" i="6"/>
  <c r="S431" i="6"/>
  <c r="C431" i="6" s="1"/>
  <c r="S432" i="6"/>
  <c r="C432" i="6" s="1"/>
  <c r="S433" i="6"/>
  <c r="S434" i="6"/>
  <c r="C434" i="6" s="1"/>
  <c r="C433" i="6" s="1"/>
  <c r="S435" i="6"/>
  <c r="C435" i="6" s="1"/>
  <c r="S436" i="6"/>
  <c r="S437" i="6"/>
  <c r="C437" i="6" s="1"/>
  <c r="S438" i="6"/>
  <c r="C438" i="6" s="1"/>
  <c r="S439" i="6"/>
  <c r="C439" i="6" s="1"/>
  <c r="S440" i="6"/>
  <c r="C440" i="6" s="1"/>
  <c r="S441" i="6"/>
  <c r="C441" i="6" s="1"/>
  <c r="S442" i="6"/>
  <c r="C442" i="6" s="1"/>
  <c r="S443" i="6"/>
  <c r="C443" i="6" s="1"/>
  <c r="S444" i="6"/>
  <c r="C444" i="6" s="1"/>
  <c r="S445" i="6"/>
  <c r="C445" i="6" s="1"/>
  <c r="S446" i="6"/>
  <c r="S447" i="6"/>
  <c r="C447" i="6" s="1"/>
  <c r="C446" i="6" s="1"/>
  <c r="S448" i="6"/>
  <c r="S449" i="6"/>
  <c r="C449" i="6" s="1"/>
  <c r="C448" i="6" s="1"/>
  <c r="S450" i="6"/>
  <c r="S451" i="6"/>
  <c r="S452" i="6"/>
  <c r="S453" i="6"/>
  <c r="C453" i="6" s="1"/>
  <c r="S454" i="6"/>
  <c r="C454" i="6" s="1"/>
  <c r="S455" i="6"/>
  <c r="S456" i="6"/>
  <c r="C456" i="6" s="1"/>
  <c r="C455" i="6" s="1"/>
  <c r="S457" i="6"/>
  <c r="S458" i="6"/>
  <c r="S459" i="6"/>
  <c r="S460" i="6"/>
  <c r="C460" i="6" s="1"/>
  <c r="S461" i="6"/>
  <c r="C461" i="6" s="1"/>
  <c r="S462" i="6"/>
  <c r="C462" i="6" s="1"/>
  <c r="S463" i="6"/>
  <c r="C463" i="6" s="1"/>
  <c r="S464" i="6"/>
  <c r="C464" i="6" s="1"/>
  <c r="S465" i="6"/>
  <c r="C465" i="6" s="1"/>
  <c r="S466" i="6"/>
  <c r="C466" i="6" s="1"/>
  <c r="S467" i="6"/>
  <c r="C467" i="6" s="1"/>
  <c r="S468" i="6"/>
  <c r="C468" i="6" s="1"/>
  <c r="S469" i="6"/>
  <c r="C469" i="6" s="1"/>
  <c r="S470" i="6"/>
  <c r="S471" i="6"/>
  <c r="C471" i="6" s="1"/>
  <c r="C470" i="6" s="1"/>
  <c r="S472" i="6"/>
  <c r="S473" i="6"/>
  <c r="C473" i="6" s="1"/>
  <c r="C472" i="6" s="1"/>
  <c r="S474" i="6"/>
  <c r="S475" i="6"/>
  <c r="S476" i="6"/>
  <c r="C476" i="6" s="1"/>
  <c r="C475" i="6" s="1"/>
  <c r="S477" i="6"/>
  <c r="S478" i="6"/>
  <c r="C478" i="6" s="1"/>
  <c r="S479" i="6"/>
  <c r="C479" i="6" s="1"/>
  <c r="S480" i="6"/>
  <c r="C480" i="6" s="1"/>
  <c r="S481" i="6"/>
  <c r="S482" i="6"/>
  <c r="C482" i="6" s="1"/>
  <c r="S483" i="6"/>
  <c r="C483" i="6" s="1"/>
  <c r="S484" i="6"/>
  <c r="S485" i="6"/>
  <c r="C485" i="6" s="1"/>
  <c r="C484" i="6" s="1"/>
  <c r="S486" i="6"/>
  <c r="C486" i="6" s="1"/>
  <c r="S488" i="6"/>
  <c r="S489" i="6"/>
  <c r="S490" i="6"/>
  <c r="S491" i="6"/>
  <c r="C491" i="6" s="1"/>
  <c r="S492" i="6"/>
  <c r="C492" i="6" s="1"/>
  <c r="S493" i="6"/>
  <c r="C493" i="6" s="1"/>
  <c r="S494" i="6"/>
  <c r="C494" i="6" s="1"/>
  <c r="S495" i="6"/>
  <c r="S496" i="6"/>
  <c r="S497" i="6"/>
  <c r="C497" i="6" s="1"/>
  <c r="C496" i="6" s="1"/>
  <c r="S498" i="6"/>
  <c r="S499" i="6"/>
  <c r="C499" i="6" s="1"/>
  <c r="C498" i="6" s="1"/>
  <c r="S500" i="6"/>
  <c r="C500" i="6" s="1"/>
  <c r="S501" i="6"/>
  <c r="S502" i="6"/>
  <c r="C502" i="6" s="1"/>
  <c r="C501" i="6" s="1"/>
  <c r="S503" i="6"/>
  <c r="S504" i="6"/>
  <c r="S505" i="6"/>
  <c r="C505" i="6" s="1"/>
  <c r="C504" i="6" s="1"/>
  <c r="S506" i="6"/>
  <c r="S507" i="6"/>
  <c r="C507" i="6" s="1"/>
  <c r="C506" i="6" s="1"/>
  <c r="S508" i="6"/>
  <c r="C508" i="6" s="1"/>
  <c r="S509" i="6"/>
  <c r="C509" i="6" s="1"/>
  <c r="S510" i="6"/>
  <c r="S511" i="6"/>
  <c r="C511" i="6" s="1"/>
  <c r="S512" i="6"/>
  <c r="C512" i="6" s="1"/>
  <c r="S513" i="6"/>
  <c r="C513" i="6" s="1"/>
  <c r="S514" i="6"/>
  <c r="C514" i="6" s="1"/>
  <c r="S515" i="6"/>
  <c r="C515" i="6" s="1"/>
  <c r="S516" i="6"/>
  <c r="C516" i="6" s="1"/>
  <c r="S517" i="6"/>
  <c r="S518" i="6"/>
  <c r="S519" i="6"/>
  <c r="C519" i="6" s="1"/>
  <c r="C518" i="6" s="1"/>
  <c r="S520" i="6"/>
  <c r="S521" i="6"/>
  <c r="C521" i="6" s="1"/>
  <c r="C520" i="6" s="1"/>
  <c r="S522" i="6"/>
  <c r="C522" i="6" s="1"/>
  <c r="S523" i="6"/>
  <c r="C523" i="6" s="1"/>
  <c r="S524" i="6"/>
  <c r="S525" i="6"/>
  <c r="S526" i="6"/>
  <c r="C526" i="6" s="1"/>
  <c r="S527" i="6"/>
  <c r="C527" i="6" s="1"/>
  <c r="S528" i="6"/>
  <c r="C528" i="6" s="1"/>
  <c r="S529" i="6"/>
  <c r="C529" i="6" s="1"/>
  <c r="S531" i="6"/>
  <c r="C531" i="6" s="1"/>
  <c r="C530" i="6" s="1"/>
  <c r="S532" i="6"/>
  <c r="S533" i="6"/>
  <c r="C533" i="6" s="1"/>
  <c r="S534" i="6"/>
  <c r="C534" i="6" s="1"/>
  <c r="S535" i="6"/>
  <c r="S536" i="6"/>
  <c r="C536" i="6" s="1"/>
  <c r="C535" i="6" s="1"/>
  <c r="S537" i="6"/>
  <c r="S538" i="6"/>
  <c r="C538" i="6" s="1"/>
  <c r="S539" i="6"/>
  <c r="S540" i="6"/>
  <c r="C540" i="6" s="1"/>
  <c r="C539" i="6" s="1"/>
  <c r="S541" i="6"/>
  <c r="C541" i="6" s="1"/>
  <c r="S542" i="6"/>
  <c r="S543" i="6"/>
  <c r="C543" i="6" s="1"/>
  <c r="C542" i="6" s="1"/>
  <c r="S11" i="6"/>
  <c r="C220" i="6" l="1"/>
  <c r="C215" i="6" s="1"/>
  <c r="C525" i="6"/>
  <c r="C524" i="6" s="1"/>
  <c r="C395" i="6"/>
  <c r="C394" i="6" s="1"/>
  <c r="C490" i="6"/>
  <c r="C481" i="6"/>
  <c r="C510" i="6"/>
  <c r="C356" i="6"/>
  <c r="C537" i="6"/>
  <c r="C436" i="6"/>
  <c r="C347" i="6"/>
  <c r="C363" i="6"/>
  <c r="C361" i="6" s="1"/>
  <c r="C343" i="6"/>
  <c r="C503" i="6"/>
  <c r="C495" i="6"/>
  <c r="C407" i="6"/>
  <c r="C404" i="6" s="1"/>
  <c r="C403" i="6" s="1"/>
  <c r="C190" i="6"/>
  <c r="C189" i="6" s="1"/>
  <c r="C376" i="6"/>
  <c r="C311" i="6"/>
  <c r="C426" i="6"/>
  <c r="C202" i="6"/>
  <c r="C373" i="6"/>
  <c r="C452" i="6"/>
  <c r="C451" i="6" s="1"/>
  <c r="C450" i="6" s="1"/>
  <c r="C420" i="6"/>
  <c r="C308" i="6"/>
  <c r="C259" i="6"/>
  <c r="C330" i="6"/>
  <c r="C303" i="6"/>
  <c r="C532" i="6"/>
  <c r="C459" i="6"/>
  <c r="C458" i="6" s="1"/>
  <c r="C379" i="6"/>
  <c r="C162" i="6"/>
  <c r="C337" i="6"/>
  <c r="C281" i="6"/>
  <c r="C273" i="6"/>
  <c r="C272" i="6" s="1"/>
  <c r="C270" i="6" s="1"/>
  <c r="C225" i="6"/>
  <c r="C193" i="6"/>
  <c r="C192" i="6" s="1"/>
  <c r="C296" i="6"/>
  <c r="C287" i="6"/>
  <c r="C208" i="6"/>
  <c r="C200" i="6"/>
  <c r="C199" i="6" s="1"/>
  <c r="C430" i="6"/>
  <c r="C382" i="6"/>
  <c r="C229" i="6"/>
  <c r="C477" i="6"/>
  <c r="C474" i="6" s="1"/>
  <c r="C325" i="6"/>
  <c r="C317" i="6"/>
  <c r="C245" i="6"/>
  <c r="C243" i="6" s="1"/>
  <c r="C197" i="6"/>
  <c r="C196" i="6" s="1"/>
  <c r="C181" i="6"/>
  <c r="C180" i="6" s="1"/>
  <c r="C159" i="6" s="1"/>
  <c r="AK101" i="6"/>
  <c r="AK134" i="6"/>
  <c r="AK130" i="6" s="1"/>
  <c r="AK129" i="6" s="1"/>
  <c r="AK140" i="6"/>
  <c r="AK116" i="6"/>
  <c r="AK122" i="6"/>
  <c r="AK121" i="6" s="1"/>
  <c r="AK147" i="6"/>
  <c r="AK13" i="6"/>
  <c r="AK22" i="6"/>
  <c r="AK59" i="6"/>
  <c r="C96" i="6"/>
  <c r="C87" i="6"/>
  <c r="C131" i="6"/>
  <c r="C123" i="6"/>
  <c r="C153" i="6"/>
  <c r="C137" i="6"/>
  <c r="C134" i="6" s="1"/>
  <c r="C70" i="6"/>
  <c r="C29" i="6"/>
  <c r="C28" i="6" s="1"/>
  <c r="C14" i="6"/>
  <c r="C150" i="6"/>
  <c r="C140" i="6"/>
  <c r="C148" i="6"/>
  <c r="C42" i="6"/>
  <c r="C106" i="6"/>
  <c r="C112" i="6"/>
  <c r="C109" i="6" s="1"/>
  <c r="C56" i="6"/>
  <c r="C126" i="6"/>
  <c r="C93" i="6"/>
  <c r="C79" i="6"/>
  <c r="C47" i="6"/>
  <c r="C101" i="6"/>
  <c r="C77" i="6"/>
  <c r="C37" i="6"/>
  <c r="C116" i="6"/>
  <c r="C91" i="6"/>
  <c r="C90" i="6" s="1"/>
  <c r="C60" i="6"/>
  <c r="C20" i="6"/>
  <c r="C23" i="6"/>
  <c r="C517" i="6" l="1"/>
  <c r="C336" i="6"/>
  <c r="C419" i="6"/>
  <c r="C417" i="6" s="1"/>
  <c r="C489" i="6"/>
  <c r="C457" i="6"/>
  <c r="C372" i="6"/>
  <c r="C188" i="6"/>
  <c r="C316" i="6"/>
  <c r="C295" i="6"/>
  <c r="C195" i="6"/>
  <c r="C269" i="6"/>
  <c r="C228" i="6"/>
  <c r="C13" i="6"/>
  <c r="AK86" i="6"/>
  <c r="AK12" i="6"/>
  <c r="C122" i="6"/>
  <c r="C121" i="6" s="1"/>
  <c r="C147" i="6"/>
  <c r="C130" i="6"/>
  <c r="C129" i="6" s="1"/>
  <c r="C22" i="6"/>
  <c r="C59" i="6"/>
  <c r="K170" i="5"/>
  <c r="J170" i="5"/>
  <c r="K169" i="5"/>
  <c r="J169" i="5"/>
  <c r="K168" i="5"/>
  <c r="J168" i="5"/>
  <c r="K167" i="5"/>
  <c r="J167" i="5"/>
  <c r="K166" i="5"/>
  <c r="J166" i="5"/>
  <c r="K165" i="5"/>
  <c r="J165" i="5"/>
  <c r="K164" i="5"/>
  <c r="J164" i="5"/>
  <c r="K163" i="5"/>
  <c r="J163" i="5"/>
  <c r="K162" i="5"/>
  <c r="J162" i="5"/>
  <c r="K161" i="5"/>
  <c r="J161" i="5"/>
  <c r="K152" i="5"/>
  <c r="J152" i="5"/>
  <c r="K148" i="5"/>
  <c r="J148" i="5"/>
  <c r="K146" i="5"/>
  <c r="J146" i="5"/>
  <c r="K145" i="5"/>
  <c r="J145" i="5"/>
  <c r="K144" i="5"/>
  <c r="J144" i="5"/>
  <c r="K143" i="5"/>
  <c r="J143" i="5"/>
  <c r="K142" i="5"/>
  <c r="J142" i="5"/>
  <c r="K141" i="5"/>
  <c r="J141" i="5"/>
  <c r="K140" i="5"/>
  <c r="J140" i="5"/>
  <c r="K137" i="5"/>
  <c r="J137" i="5"/>
  <c r="J136" i="5"/>
  <c r="K136" i="5"/>
  <c r="K135" i="5"/>
  <c r="J135" i="5"/>
  <c r="K134" i="5"/>
  <c r="J134" i="5"/>
  <c r="K131" i="5"/>
  <c r="J131" i="5"/>
  <c r="J122" i="5"/>
  <c r="K122" i="5"/>
  <c r="J128" i="5"/>
  <c r="K128" i="5"/>
  <c r="J129" i="5"/>
  <c r="K129" i="5"/>
  <c r="J130" i="5"/>
  <c r="K130" i="5"/>
  <c r="J121" i="5"/>
  <c r="K121" i="5"/>
  <c r="J381" i="5"/>
  <c r="J310" i="5"/>
  <c r="K381" i="5"/>
  <c r="K350" i="5"/>
  <c r="K348" i="5"/>
  <c r="K307" i="5"/>
  <c r="J307" i="5"/>
  <c r="K309" i="5"/>
  <c r="J309" i="5"/>
  <c r="K310" i="5"/>
  <c r="K312" i="5"/>
  <c r="J312" i="5"/>
  <c r="K334" i="5"/>
  <c r="K332" i="5"/>
  <c r="K331" i="5"/>
  <c r="K329" i="5"/>
  <c r="K328" i="5"/>
  <c r="K327" i="5"/>
  <c r="K325" i="5"/>
  <c r="K322" i="5"/>
  <c r="K320" i="5"/>
  <c r="K317" i="5"/>
  <c r="K316" i="5"/>
  <c r="K315" i="5"/>
  <c r="K314" i="5"/>
  <c r="K313" i="5"/>
  <c r="J334" i="5"/>
  <c r="J332" i="5"/>
  <c r="J331" i="5"/>
  <c r="J329" i="5"/>
  <c r="J328" i="5"/>
  <c r="J327" i="5"/>
  <c r="J325" i="5"/>
  <c r="J322" i="5"/>
  <c r="J320" i="5"/>
  <c r="J317" i="5"/>
  <c r="J316" i="5"/>
  <c r="J315" i="5"/>
  <c r="J314" i="5"/>
  <c r="J313" i="5"/>
  <c r="K346" i="5"/>
  <c r="J346" i="5"/>
  <c r="J348" i="5"/>
  <c r="J350" i="5"/>
  <c r="K357" i="5"/>
  <c r="J357" i="5"/>
  <c r="K355" i="5"/>
  <c r="J355" i="5"/>
  <c r="K352" i="5"/>
  <c r="J352" i="5"/>
  <c r="K359" i="5"/>
  <c r="J359" i="5"/>
  <c r="K364" i="5"/>
  <c r="J364" i="5"/>
  <c r="K396" i="5"/>
  <c r="J396" i="5"/>
  <c r="K393" i="5"/>
  <c r="J393" i="5"/>
  <c r="J389" i="5"/>
  <c r="K389" i="5"/>
  <c r="K387" i="5"/>
  <c r="J387" i="5"/>
  <c r="K386" i="5"/>
  <c r="J386" i="5"/>
  <c r="K385" i="5"/>
  <c r="J385" i="5"/>
  <c r="K384" i="5"/>
  <c r="J384" i="5"/>
  <c r="K382" i="5"/>
  <c r="J382" i="5"/>
  <c r="K373" i="5"/>
  <c r="J373" i="5"/>
  <c r="K372" i="5"/>
  <c r="J372" i="5"/>
  <c r="K370" i="5"/>
  <c r="J370" i="5"/>
  <c r="J119" i="5"/>
  <c r="K119" i="5"/>
  <c r="K118" i="5"/>
  <c r="J118" i="5"/>
  <c r="K115" i="5"/>
  <c r="J115" i="5"/>
  <c r="J81" i="5"/>
  <c r="J85" i="5"/>
  <c r="K103" i="5"/>
  <c r="J103" i="5"/>
  <c r="K100" i="5"/>
  <c r="J100" i="5"/>
  <c r="K98" i="5"/>
  <c r="J98" i="5"/>
  <c r="K85" i="5"/>
  <c r="J59" i="5"/>
  <c r="K81" i="5"/>
  <c r="K79" i="5"/>
  <c r="K74" i="5"/>
  <c r="K72" i="5"/>
  <c r="K68" i="5"/>
  <c r="K65" i="5"/>
  <c r="K62" i="5"/>
  <c r="K59" i="5"/>
  <c r="K53" i="5"/>
  <c r="K51" i="5"/>
  <c r="K30" i="5"/>
  <c r="K45" i="5"/>
  <c r="K41" i="5"/>
  <c r="K39" i="5"/>
  <c r="K37" i="5"/>
  <c r="K36" i="5"/>
  <c r="K35" i="5"/>
  <c r="K34" i="5"/>
  <c r="K33" i="5"/>
  <c r="K32" i="5"/>
  <c r="K31" i="5"/>
  <c r="K7" i="5"/>
  <c r="J7" i="5"/>
  <c r="K27" i="5"/>
  <c r="K26" i="5"/>
  <c r="K25" i="5"/>
  <c r="K24" i="5"/>
  <c r="K23" i="5"/>
  <c r="K21" i="5"/>
  <c r="K17" i="5"/>
  <c r="K15" i="5"/>
  <c r="K13" i="5"/>
  <c r="K12" i="5"/>
  <c r="K10" i="5"/>
  <c r="K9" i="5"/>
  <c r="J74" i="5"/>
  <c r="J51" i="5"/>
  <c r="J79" i="5"/>
  <c r="J72" i="5"/>
  <c r="J68" i="5"/>
  <c r="J65" i="5"/>
  <c r="J62" i="5"/>
  <c r="J53" i="5"/>
  <c r="J45" i="5"/>
  <c r="J41" i="5"/>
  <c r="J39" i="5"/>
  <c r="J37" i="5"/>
  <c r="J36" i="5"/>
  <c r="J35" i="5"/>
  <c r="J34" i="5"/>
  <c r="J33" i="5"/>
  <c r="J32" i="5"/>
  <c r="J31" i="5"/>
  <c r="J30" i="5"/>
  <c r="C488" i="6" l="1"/>
  <c r="C355" i="6"/>
  <c r="C158" i="6"/>
  <c r="C157" i="6" s="1"/>
  <c r="C12" i="6"/>
  <c r="C86" i="6"/>
  <c r="AK11" i="6"/>
  <c r="J27" i="5"/>
  <c r="J26" i="5"/>
  <c r="J25" i="5"/>
  <c r="J24" i="5"/>
  <c r="J23" i="5"/>
  <c r="J21" i="5"/>
  <c r="J17" i="5"/>
  <c r="J15" i="5"/>
  <c r="G401" i="3"/>
  <c r="G400" i="3"/>
  <c r="AG542" i="6" s="1"/>
  <c r="Q542" i="6" s="1"/>
  <c r="G399" i="3"/>
  <c r="AG541" i="6" s="1"/>
  <c r="Q541" i="6" s="1"/>
  <c r="G398" i="3"/>
  <c r="AG539" i="6" s="1"/>
  <c r="Q539" i="6" s="1"/>
  <c r="G397" i="3"/>
  <c r="AG538" i="6" s="1"/>
  <c r="Q538" i="6" s="1"/>
  <c r="G396" i="3"/>
  <c r="AG537" i="6" s="1"/>
  <c r="Q537" i="6" s="1"/>
  <c r="G395" i="3"/>
  <c r="AG535" i="6" s="1"/>
  <c r="Q535" i="6" s="1"/>
  <c r="G394" i="3"/>
  <c r="AG532" i="6" s="1"/>
  <c r="Q532" i="6" s="1"/>
  <c r="G393" i="3"/>
  <c r="AG529" i="6" s="1"/>
  <c r="Q529" i="6" s="1"/>
  <c r="G390" i="3"/>
  <c r="AG525" i="6" s="1"/>
  <c r="Q525" i="6" s="1"/>
  <c r="G389" i="3"/>
  <c r="AG524" i="6" s="1"/>
  <c r="Q524" i="6" s="1"/>
  <c r="G385" i="3"/>
  <c r="AG518" i="6" s="1"/>
  <c r="Q518" i="6" s="1"/>
  <c r="G384" i="3"/>
  <c r="AG517" i="6" s="1"/>
  <c r="Q517" i="6" s="1"/>
  <c r="G376" i="3"/>
  <c r="AG501" i="6" s="1"/>
  <c r="Q501" i="6" s="1"/>
  <c r="G375" i="3"/>
  <c r="AG500" i="6" s="1"/>
  <c r="Q500" i="6" s="1"/>
  <c r="G374" i="3"/>
  <c r="AG498" i="6" s="1"/>
  <c r="Q498" i="6" s="1"/>
  <c r="G372" i="3"/>
  <c r="AG495" i="6" s="1"/>
  <c r="Q495" i="6" s="1"/>
  <c r="G371" i="3"/>
  <c r="AG494" i="6" s="1"/>
  <c r="Q494" i="6" s="1"/>
  <c r="G370" i="3"/>
  <c r="AG493" i="6" s="1"/>
  <c r="Q493" i="6" s="1"/>
  <c r="G369" i="3"/>
  <c r="AG492" i="6" s="1"/>
  <c r="Q492" i="6" s="1"/>
  <c r="G367" i="3"/>
  <c r="AG490" i="6" s="1"/>
  <c r="Q490" i="6" s="1"/>
  <c r="G366" i="3"/>
  <c r="AG489" i="6" s="1"/>
  <c r="Q489" i="6" s="1"/>
  <c r="G365" i="3"/>
  <c r="AG488" i="6" s="1"/>
  <c r="Q488" i="6" s="1"/>
  <c r="G360" i="3"/>
  <c r="AG477" i="6" s="1"/>
  <c r="Q477" i="6" s="1"/>
  <c r="G359" i="3"/>
  <c r="AG475" i="6" s="1"/>
  <c r="Q475" i="6" s="1"/>
  <c r="G358" i="3"/>
  <c r="AG474" i="6" s="1"/>
  <c r="Q474" i="6" s="1"/>
  <c r="G350" i="3"/>
  <c r="AG457" i="6" s="1"/>
  <c r="Q457" i="6" s="1"/>
  <c r="G349" i="3"/>
  <c r="AG455" i="6" s="1"/>
  <c r="Q455" i="6" s="1"/>
  <c r="G348" i="3"/>
  <c r="AG452" i="6" s="1"/>
  <c r="Q452" i="6" s="1"/>
  <c r="G347" i="3"/>
  <c r="AG451" i="6" s="1"/>
  <c r="Q451" i="6" s="1"/>
  <c r="G346" i="3"/>
  <c r="AG450" i="6" s="1"/>
  <c r="Q450" i="6" s="1"/>
  <c r="G345" i="3"/>
  <c r="AG448" i="6" s="1"/>
  <c r="Q448" i="6" s="1"/>
  <c r="G344" i="3"/>
  <c r="AG446" i="6" s="1"/>
  <c r="Q446" i="6" s="1"/>
  <c r="G343" i="3"/>
  <c r="AG445" i="6" s="1"/>
  <c r="Q445" i="6" s="1"/>
  <c r="G342" i="3"/>
  <c r="AG436" i="6" s="1"/>
  <c r="Q436" i="6" s="1"/>
  <c r="G341" i="3"/>
  <c r="AG435" i="6" s="1"/>
  <c r="Q435" i="6" s="1"/>
  <c r="G340" i="3"/>
  <c r="AG433" i="6" s="1"/>
  <c r="Q433" i="6" s="1"/>
  <c r="G339" i="3"/>
  <c r="AG430" i="6" s="1"/>
  <c r="Q430" i="6" s="1"/>
  <c r="G338" i="3"/>
  <c r="AG429" i="6" s="1"/>
  <c r="Q429" i="6" s="1"/>
  <c r="G337" i="3"/>
  <c r="AG426" i="6" s="1"/>
  <c r="Q426" i="6" s="1"/>
  <c r="G336" i="3"/>
  <c r="AG424" i="6" s="1"/>
  <c r="Q424" i="6" s="1"/>
  <c r="G335" i="3"/>
  <c r="AG420" i="6" s="1"/>
  <c r="Q420" i="6" s="1"/>
  <c r="G334" i="3"/>
  <c r="AG419" i="6" s="1"/>
  <c r="Q419" i="6" s="1"/>
  <c r="G333" i="3"/>
  <c r="AG417" i="6" s="1"/>
  <c r="Q417" i="6" s="1"/>
  <c r="G331" i="3"/>
  <c r="AG415" i="6" s="1"/>
  <c r="Q415" i="6" s="1"/>
  <c r="G330" i="3"/>
  <c r="AG414" i="6" s="1"/>
  <c r="Q414" i="6" s="1"/>
  <c r="G329" i="3"/>
  <c r="AG412" i="6" s="1"/>
  <c r="Q412" i="6" s="1"/>
  <c r="G328" i="3"/>
  <c r="AG410" i="6" s="1"/>
  <c r="Q410" i="6" s="1"/>
  <c r="G327" i="3"/>
  <c r="AG407" i="6" s="1"/>
  <c r="Q407" i="6" s="1"/>
  <c r="G326" i="3"/>
  <c r="AG405" i="6" s="1"/>
  <c r="Q405" i="6" s="1"/>
  <c r="G325" i="3"/>
  <c r="AG404" i="6" s="1"/>
  <c r="Q404" i="6" s="1"/>
  <c r="G324" i="3"/>
  <c r="AG403" i="6" s="1"/>
  <c r="Q403" i="6" s="1"/>
  <c r="G322" i="3"/>
  <c r="AG400" i="6" s="1"/>
  <c r="Q400" i="6" s="1"/>
  <c r="G320" i="3"/>
  <c r="AG395" i="6" s="1"/>
  <c r="Q395" i="6" s="1"/>
  <c r="G319" i="3"/>
  <c r="AG394" i="6" s="1"/>
  <c r="Q394" i="6" s="1"/>
  <c r="G314" i="3"/>
  <c r="AG388" i="6" s="1"/>
  <c r="Q388" i="6" s="1"/>
  <c r="G313" i="3"/>
  <c r="AG386" i="6" s="1"/>
  <c r="Q386" i="6" s="1"/>
  <c r="G312" i="3"/>
  <c r="AG382" i="6" s="1"/>
  <c r="Q382" i="6" s="1"/>
  <c r="G311" i="3"/>
  <c r="AG379" i="6" s="1"/>
  <c r="Q379" i="6" s="1"/>
  <c r="G310" i="3"/>
  <c r="AG376" i="6" s="1"/>
  <c r="Q376" i="6" s="1"/>
  <c r="G309" i="3"/>
  <c r="AG373" i="6" s="1"/>
  <c r="Q373" i="6" s="1"/>
  <c r="G308" i="3"/>
  <c r="AG372" i="6" s="1"/>
  <c r="Q372" i="6" s="1"/>
  <c r="G307" i="3"/>
  <c r="AG369" i="6" s="1"/>
  <c r="Q369" i="6" s="1"/>
  <c r="G306" i="3"/>
  <c r="AG363" i="6" s="1"/>
  <c r="Q363" i="6" s="1"/>
  <c r="G304" i="3"/>
  <c r="AG361" i="6" s="1"/>
  <c r="Q361" i="6" s="1"/>
  <c r="G301" i="3"/>
  <c r="AG357" i="6" s="1"/>
  <c r="Q357" i="6" s="1"/>
  <c r="G300" i="3"/>
  <c r="AG356" i="6" s="1"/>
  <c r="Q356" i="6" s="1"/>
  <c r="G299" i="3"/>
  <c r="AG355" i="6" s="1"/>
  <c r="Q355" i="6" s="1"/>
  <c r="G297" i="3"/>
  <c r="AG353" i="6" s="1"/>
  <c r="Q353" i="6" s="1"/>
  <c r="G296" i="3"/>
  <c r="AG352" i="6" s="1"/>
  <c r="Q352" i="6" s="1"/>
  <c r="G295" i="3"/>
  <c r="AG347" i="6" s="1"/>
  <c r="Q347" i="6" s="1"/>
  <c r="G294" i="3"/>
  <c r="AG346" i="6" s="1"/>
  <c r="Q346" i="6" s="1"/>
  <c r="G293" i="3"/>
  <c r="AG343" i="6" s="1"/>
  <c r="Q343" i="6" s="1"/>
  <c r="G292" i="3"/>
  <c r="AG337" i="6" s="1"/>
  <c r="Q337" i="6" s="1"/>
  <c r="G291" i="3"/>
  <c r="AG336" i="6" s="1"/>
  <c r="Q336" i="6" s="1"/>
  <c r="G290" i="3"/>
  <c r="AG335" i="6" s="1"/>
  <c r="Q335" i="6" s="1"/>
  <c r="G289" i="3"/>
  <c r="AG333" i="6" s="1"/>
  <c r="Q333" i="6" s="1"/>
  <c r="G288" i="3"/>
  <c r="AG332" i="6" s="1"/>
  <c r="Q332" i="6" s="1"/>
  <c r="G287" i="3"/>
  <c r="AG330" i="6" s="1"/>
  <c r="Q330" i="6" s="1"/>
  <c r="G286" i="3"/>
  <c r="AG329" i="6" s="1"/>
  <c r="Q329" i="6" s="1"/>
  <c r="G285" i="3"/>
  <c r="AG327" i="6" s="1"/>
  <c r="Q327" i="6" s="1"/>
  <c r="G284" i="3"/>
  <c r="AG326" i="6" s="1"/>
  <c r="Q326" i="6" s="1"/>
  <c r="G283" i="3"/>
  <c r="AG325" i="6" s="1"/>
  <c r="Q325" i="6" s="1"/>
  <c r="G282" i="3"/>
  <c r="AG324" i="6" s="1"/>
  <c r="Q324" i="6" s="1"/>
  <c r="G281" i="3"/>
  <c r="AG323" i="6" s="1"/>
  <c r="Q323" i="6" s="1"/>
  <c r="G280" i="3"/>
  <c r="AG322" i="6" s="1"/>
  <c r="Q322" i="6" s="1"/>
  <c r="G279" i="3"/>
  <c r="AG317" i="6" s="1"/>
  <c r="Q317" i="6" s="1"/>
  <c r="G278" i="3"/>
  <c r="AG316" i="6" s="1"/>
  <c r="Q316" i="6" s="1"/>
  <c r="G275" i="3"/>
  <c r="AG313" i="6" s="1"/>
  <c r="Q313" i="6" s="1"/>
  <c r="G274" i="3"/>
  <c r="AG311" i="6" s="1"/>
  <c r="Q311" i="6" s="1"/>
  <c r="G273" i="3"/>
  <c r="AG310" i="6" s="1"/>
  <c r="Q310" i="6" s="1"/>
  <c r="G272" i="3"/>
  <c r="AG308" i="6" s="1"/>
  <c r="Q308" i="6" s="1"/>
  <c r="G270" i="3"/>
  <c r="AG306" i="6" s="1"/>
  <c r="Q306" i="6" s="1"/>
  <c r="G269" i="3"/>
  <c r="AG303" i="6" s="1"/>
  <c r="Q303" i="6" s="1"/>
  <c r="G268" i="3"/>
  <c r="AG302" i="6" s="1"/>
  <c r="Q302" i="6" s="1"/>
  <c r="G266" i="3"/>
  <c r="AG300" i="6" s="1"/>
  <c r="Q300" i="6" s="1"/>
  <c r="G265" i="3"/>
  <c r="AG296" i="6" s="1"/>
  <c r="Q296" i="6" s="1"/>
  <c r="G264" i="3"/>
  <c r="AG295" i="6" s="1"/>
  <c r="Q295" i="6" s="1"/>
  <c r="G260" i="3"/>
  <c r="AG291" i="6" s="1"/>
  <c r="Q291" i="6" s="1"/>
  <c r="G259" i="3"/>
  <c r="AG290" i="6" s="1"/>
  <c r="Q290" i="6" s="1"/>
  <c r="G258" i="3"/>
  <c r="AG288" i="6" s="1"/>
  <c r="Q288" i="6" s="1"/>
  <c r="G257" i="3"/>
  <c r="AG287" i="6" s="1"/>
  <c r="Q287" i="6" s="1"/>
  <c r="G256" i="3"/>
  <c r="AG286" i="6" s="1"/>
  <c r="Q286" i="6" s="1"/>
  <c r="G255" i="3"/>
  <c r="AG285" i="6" s="1"/>
  <c r="Q285" i="6" s="1"/>
  <c r="G254" i="3"/>
  <c r="AG283" i="6" s="1"/>
  <c r="Q283" i="6" s="1"/>
  <c r="G252" i="3"/>
  <c r="AG281" i="6" s="1"/>
  <c r="Q281" i="6" s="1"/>
  <c r="G250" i="3"/>
  <c r="AG278" i="6" s="1"/>
  <c r="Q278" i="6" s="1"/>
  <c r="G249" i="3"/>
  <c r="AG277" i="6" s="1"/>
  <c r="Q277" i="6" s="1"/>
  <c r="G248" i="3"/>
  <c r="AG276" i="6" s="1"/>
  <c r="Q276" i="6" s="1"/>
  <c r="G247" i="3"/>
  <c r="G244" i="3"/>
  <c r="AG272" i="6" s="1"/>
  <c r="Q272" i="6" s="1"/>
  <c r="G243" i="3"/>
  <c r="AG270" i="6" s="1"/>
  <c r="Q270" i="6" s="1"/>
  <c r="G242" i="3"/>
  <c r="AG269" i="6" s="1"/>
  <c r="Q269" i="6" s="1"/>
  <c r="G241" i="3"/>
  <c r="AG267" i="6" s="1"/>
  <c r="Q267" i="6" s="1"/>
  <c r="G240" i="3"/>
  <c r="AG266" i="6" s="1"/>
  <c r="Q266" i="6" s="1"/>
  <c r="G239" i="3"/>
  <c r="AG264" i="6" s="1"/>
  <c r="Q264" i="6" s="1"/>
  <c r="G238" i="3"/>
  <c r="AG262" i="6" s="1"/>
  <c r="Q262" i="6" s="1"/>
  <c r="G237" i="3"/>
  <c r="AG260" i="6" s="1"/>
  <c r="Q260" i="6" s="1"/>
  <c r="G236" i="3"/>
  <c r="AG259" i="6" s="1"/>
  <c r="Q259" i="6" s="1"/>
  <c r="G233" i="3"/>
  <c r="AG256" i="6" s="1"/>
  <c r="Q256" i="6" s="1"/>
  <c r="G232" i="3"/>
  <c r="AG254" i="6" s="1"/>
  <c r="Q254" i="6" s="1"/>
  <c r="G231" i="3"/>
  <c r="AG253" i="6" s="1"/>
  <c r="Q253" i="6" s="1"/>
  <c r="G230" i="3"/>
  <c r="AG252" i="6" s="1"/>
  <c r="Q252" i="6" s="1"/>
  <c r="G229" i="3"/>
  <c r="AG251" i="6" s="1"/>
  <c r="Q251" i="6" s="1"/>
  <c r="G228" i="3"/>
  <c r="AG250" i="6" s="1"/>
  <c r="Q250" i="6" s="1"/>
  <c r="G227" i="3"/>
  <c r="AG249" i="6" s="1"/>
  <c r="Q249" i="6" s="1"/>
  <c r="G226" i="3"/>
  <c r="AG248" i="6" s="1"/>
  <c r="Q248" i="6" s="1"/>
  <c r="G225" i="3"/>
  <c r="AG245" i="6" s="1"/>
  <c r="Q245" i="6" s="1"/>
  <c r="G223" i="3"/>
  <c r="AG243" i="6" s="1"/>
  <c r="Q243" i="6" s="1"/>
  <c r="G221" i="3"/>
  <c r="AG241" i="6" s="1"/>
  <c r="Q241" i="6" s="1"/>
  <c r="G220" i="3"/>
  <c r="AG240" i="6" s="1"/>
  <c r="Q240" i="6" s="1"/>
  <c r="G219" i="3"/>
  <c r="AG239" i="6" s="1"/>
  <c r="Q239" i="6" s="1"/>
  <c r="G218" i="3"/>
  <c r="AG238" i="6" s="1"/>
  <c r="Q238" i="6" s="1"/>
  <c r="G217" i="3"/>
  <c r="AG236" i="6" s="1"/>
  <c r="Q236" i="6" s="1"/>
  <c r="G216" i="3"/>
  <c r="AG235" i="6" s="1"/>
  <c r="Q235" i="6" s="1"/>
  <c r="G215" i="3"/>
  <c r="AG233" i="6" s="1"/>
  <c r="Q233" i="6" s="1"/>
  <c r="G214" i="3"/>
  <c r="AG232" i="6" s="1"/>
  <c r="Q232" i="6" s="1"/>
  <c r="G213" i="3"/>
  <c r="AG230" i="6" s="1"/>
  <c r="Q230" i="6" s="1"/>
  <c r="G212" i="3"/>
  <c r="AG229" i="6" s="1"/>
  <c r="Q229" i="6" s="1"/>
  <c r="G211" i="3"/>
  <c r="AG228" i="6" s="1"/>
  <c r="Q228" i="6" s="1"/>
  <c r="G210" i="3"/>
  <c r="AG227" i="6" s="1"/>
  <c r="Q227" i="6" s="1"/>
  <c r="G209" i="3"/>
  <c r="AG225" i="6" s="1"/>
  <c r="Q225" i="6" s="1"/>
  <c r="G207" i="3"/>
  <c r="AG223" i="6" s="1"/>
  <c r="Q223" i="6" s="1"/>
  <c r="G206" i="3"/>
  <c r="AG220" i="6" s="1"/>
  <c r="Q220" i="6" s="1"/>
  <c r="G205" i="3"/>
  <c r="AG219" i="6" s="1"/>
  <c r="Q219" i="6" s="1"/>
  <c r="G204" i="3"/>
  <c r="AG218" i="6" s="1"/>
  <c r="Q218" i="6" s="1"/>
  <c r="G203" i="3"/>
  <c r="AG217" i="6" s="1"/>
  <c r="Q217" i="6" s="1"/>
  <c r="G202" i="3"/>
  <c r="AG216" i="6" s="1"/>
  <c r="Q216" i="6" s="1"/>
  <c r="G201" i="3"/>
  <c r="AG215" i="6" s="1"/>
  <c r="Q215" i="6" s="1"/>
  <c r="G200" i="3"/>
  <c r="AG214" i="6" s="1"/>
  <c r="Q214" i="6" s="1"/>
  <c r="G199" i="3"/>
  <c r="AG213" i="6" s="1"/>
  <c r="Q213" i="6" s="1"/>
  <c r="G198" i="3"/>
  <c r="AG212" i="6" s="1"/>
  <c r="Q212" i="6" s="1"/>
  <c r="G197" i="3"/>
  <c r="AG211" i="6" s="1"/>
  <c r="Q211" i="6" s="1"/>
  <c r="G196" i="3"/>
  <c r="AG208" i="6" s="1"/>
  <c r="Q208" i="6" s="1"/>
  <c r="G194" i="3"/>
  <c r="AG206" i="6" s="1"/>
  <c r="Q206" i="6" s="1"/>
  <c r="G193" i="3"/>
  <c r="AG205" i="6" s="1"/>
  <c r="Q205" i="6" s="1"/>
  <c r="G192" i="3"/>
  <c r="AG202" i="6" s="1"/>
  <c r="Q202" i="6" s="1"/>
  <c r="G191" i="3"/>
  <c r="G190" i="3"/>
  <c r="G189" i="3"/>
  <c r="AG199" i="6" s="1"/>
  <c r="Q199" i="6" s="1"/>
  <c r="G188" i="3"/>
  <c r="G187" i="3"/>
  <c r="G186" i="3"/>
  <c r="AG196" i="6" s="1"/>
  <c r="Q196" i="6" s="1"/>
  <c r="G185" i="3"/>
  <c r="AG195" i="6" s="1"/>
  <c r="Q195" i="6" s="1"/>
  <c r="G184" i="3"/>
  <c r="AG193" i="6" s="1"/>
  <c r="Q193" i="6" s="1"/>
  <c r="G183" i="3"/>
  <c r="AG192" i="6" s="1"/>
  <c r="Q192" i="6" s="1"/>
  <c r="G182" i="3"/>
  <c r="AG190" i="6" s="1"/>
  <c r="Q190" i="6" s="1"/>
  <c r="G181" i="3"/>
  <c r="AG189" i="6" s="1"/>
  <c r="Q189" i="6" s="1"/>
  <c r="G180" i="3"/>
  <c r="AG188" i="6" s="1"/>
  <c r="Q188" i="6" s="1"/>
  <c r="G177" i="3"/>
  <c r="AG185" i="6" s="1"/>
  <c r="Q185" i="6" s="1"/>
  <c r="G176" i="3"/>
  <c r="AG184" i="6" s="1"/>
  <c r="Q184" i="6" s="1"/>
  <c r="G175" i="3"/>
  <c r="AG183" i="6" s="1"/>
  <c r="Q183" i="6" s="1"/>
  <c r="G174" i="3"/>
  <c r="AG182" i="6" s="1"/>
  <c r="Q182" i="6" s="1"/>
  <c r="G173" i="3"/>
  <c r="AG181" i="6" s="1"/>
  <c r="Q181" i="6" s="1"/>
  <c r="G172" i="3"/>
  <c r="AG180" i="6" s="1"/>
  <c r="Q180" i="6" s="1"/>
  <c r="G169" i="3"/>
  <c r="AG175" i="6" s="1"/>
  <c r="Q175" i="6" s="1"/>
  <c r="G168" i="3"/>
  <c r="AG170" i="6" s="1"/>
  <c r="Q170" i="6" s="1"/>
  <c r="G167" i="3"/>
  <c r="G166" i="3"/>
  <c r="AG166" i="6" s="1"/>
  <c r="Q166" i="6" s="1"/>
  <c r="G165" i="3"/>
  <c r="AG163" i="6" s="1"/>
  <c r="Q163" i="6" s="1"/>
  <c r="G164" i="3"/>
  <c r="AG162" i="6" s="1"/>
  <c r="Q162" i="6" s="1"/>
  <c r="G163" i="3"/>
  <c r="AG160" i="6" s="1"/>
  <c r="Q160" i="6" s="1"/>
  <c r="G162" i="3"/>
  <c r="AG159" i="6" s="1"/>
  <c r="Q159" i="6" s="1"/>
  <c r="G161" i="3"/>
  <c r="AG158" i="6" s="1"/>
  <c r="Q158" i="6" s="1"/>
  <c r="G160" i="3"/>
  <c r="AG157" i="6" s="1"/>
  <c r="Q157" i="6" s="1"/>
  <c r="G157" i="3"/>
  <c r="AG155" i="6" s="1"/>
  <c r="Q155" i="6" s="1"/>
  <c r="G156" i="3"/>
  <c r="AG153" i="6" s="1"/>
  <c r="Q153" i="6" s="1"/>
  <c r="G153" i="3"/>
  <c r="AG148" i="6" s="1"/>
  <c r="Q148" i="6" s="1"/>
  <c r="G152" i="3"/>
  <c r="AG147" i="6" s="1"/>
  <c r="Q147" i="6" s="1"/>
  <c r="G150" i="3"/>
  <c r="AG145" i="6" s="1"/>
  <c r="Q145" i="6" s="1"/>
  <c r="G147" i="3"/>
  <c r="AG142" i="6" s="1"/>
  <c r="Q142" i="6" s="1"/>
  <c r="G145" i="3"/>
  <c r="AG140" i="6" s="1"/>
  <c r="Q140" i="6" s="1"/>
  <c r="G133" i="3"/>
  <c r="AG119" i="6" s="1"/>
  <c r="Q119" i="6" s="1"/>
  <c r="G130" i="3"/>
  <c r="AG116" i="6" s="1"/>
  <c r="Q116" i="6" s="1"/>
  <c r="G116" i="3"/>
  <c r="AG97" i="6" s="1"/>
  <c r="Q97" i="6" s="1"/>
  <c r="G115" i="3"/>
  <c r="AG96" i="6" s="1"/>
  <c r="Q96" i="6" s="1"/>
  <c r="G114" i="3"/>
  <c r="AG94" i="6" s="1"/>
  <c r="Q94" i="6" s="1"/>
  <c r="G113" i="3"/>
  <c r="AG93" i="6" s="1"/>
  <c r="Q93" i="6" s="1"/>
  <c r="G107" i="3"/>
  <c r="AG86" i="6" s="1"/>
  <c r="Q86" i="6" s="1"/>
  <c r="G96" i="3"/>
  <c r="AG56" i="6" s="1"/>
  <c r="Q56" i="6" s="1"/>
  <c r="G89" i="3"/>
  <c r="AG44" i="6" s="1"/>
  <c r="Q44" i="6" s="1"/>
  <c r="G88" i="3"/>
  <c r="AG42" i="6" s="1"/>
  <c r="Q42" i="6" s="1"/>
  <c r="G87" i="3"/>
  <c r="AG40" i="6" s="1"/>
  <c r="Q40" i="6" s="1"/>
  <c r="G85" i="3"/>
  <c r="AG37" i="6" s="1"/>
  <c r="Q37" i="6" s="1"/>
  <c r="G80" i="3"/>
  <c r="AG18" i="6" s="1"/>
  <c r="Q18" i="6" s="1"/>
  <c r="G77" i="3"/>
  <c r="AG13" i="6" s="1"/>
  <c r="Q13" i="6" s="1"/>
  <c r="G76" i="3"/>
  <c r="AG12" i="6" s="1"/>
  <c r="Q12" i="6" s="1"/>
  <c r="G75" i="3"/>
  <c r="AG11" i="6" s="1"/>
  <c r="Q11" i="6" s="1"/>
  <c r="G432" i="3"/>
  <c r="G430" i="3"/>
  <c r="G429" i="3"/>
  <c r="G427" i="3"/>
  <c r="G426" i="3"/>
  <c r="G425" i="3"/>
  <c r="G414" i="3"/>
  <c r="G413" i="3"/>
  <c r="G412" i="3"/>
  <c r="G411" i="3"/>
  <c r="G410" i="3"/>
  <c r="G409" i="3"/>
  <c r="G408" i="3"/>
  <c r="G407" i="3"/>
  <c r="F384" i="3"/>
  <c r="AF517" i="6" s="1"/>
  <c r="P517" i="6" s="1"/>
  <c r="F374" i="3"/>
  <c r="AF498" i="6" s="1"/>
  <c r="P498" i="6" s="1"/>
  <c r="F372" i="3"/>
  <c r="AF495" i="6" s="1"/>
  <c r="P495" i="6" s="1"/>
  <c r="F370" i="3"/>
  <c r="F369" i="3"/>
  <c r="F367" i="3"/>
  <c r="F366" i="3"/>
  <c r="AF489" i="6" s="1"/>
  <c r="P489" i="6" s="1"/>
  <c r="F349" i="3"/>
  <c r="AF455" i="6" s="1"/>
  <c r="P455" i="6" s="1"/>
  <c r="F348" i="3"/>
  <c r="AF452" i="6" s="1"/>
  <c r="P452" i="6" s="1"/>
  <c r="F347" i="3"/>
  <c r="AF451" i="6" s="1"/>
  <c r="P451" i="6" s="1"/>
  <c r="F346" i="3"/>
  <c r="AF450" i="6" s="1"/>
  <c r="P450" i="6" s="1"/>
  <c r="F322" i="3"/>
  <c r="F319" i="3"/>
  <c r="AF394" i="6" s="1"/>
  <c r="P394" i="6" s="1"/>
  <c r="F196" i="3"/>
  <c r="F173" i="3"/>
  <c r="F172" i="3"/>
  <c r="F164" i="3"/>
  <c r="F163" i="3"/>
  <c r="F162" i="3"/>
  <c r="F161" i="3"/>
  <c r="F145" i="3"/>
  <c r="AF140" i="6" s="1"/>
  <c r="P140" i="6" s="1"/>
  <c r="F107" i="3"/>
  <c r="AF86" i="6" s="1"/>
  <c r="P86" i="6" s="1"/>
  <c r="F76" i="3"/>
  <c r="AF12" i="6" s="1"/>
  <c r="P12" i="6" s="1"/>
  <c r="J13" i="5"/>
  <c r="J12" i="5"/>
  <c r="J10" i="5"/>
  <c r="J9" i="5"/>
  <c r="E45" i="5"/>
  <c r="F45" i="5"/>
  <c r="E74" i="5"/>
  <c r="F74" i="5"/>
  <c r="E96" i="5"/>
  <c r="F96" i="5"/>
  <c r="E100" i="5"/>
  <c r="F100" i="5"/>
  <c r="E107" i="5"/>
  <c r="E108" i="5" s="1"/>
  <c r="F107" i="5"/>
  <c r="F108" i="5" s="1"/>
  <c r="E171" i="5"/>
  <c r="F171" i="5"/>
  <c r="E181" i="5"/>
  <c r="F181" i="5"/>
  <c r="E192" i="5"/>
  <c r="F192" i="5"/>
  <c r="E202" i="5"/>
  <c r="F202" i="5"/>
  <c r="E213" i="5"/>
  <c r="F213" i="5"/>
  <c r="E246" i="5"/>
  <c r="F246" i="5"/>
  <c r="E247" i="5"/>
  <c r="F247" i="5"/>
  <c r="E252" i="5"/>
  <c r="F252" i="5"/>
  <c r="E268" i="5"/>
  <c r="E522" i="5" s="1"/>
  <c r="F268" i="5"/>
  <c r="F522" i="5" s="1"/>
  <c r="E287" i="5"/>
  <c r="F287" i="5"/>
  <c r="E295" i="5"/>
  <c r="F295" i="5"/>
  <c r="E304" i="5"/>
  <c r="F304" i="5"/>
  <c r="E352" i="5"/>
  <c r="F352" i="5"/>
  <c r="E435" i="5"/>
  <c r="F435" i="5"/>
  <c r="E521" i="5"/>
  <c r="F521" i="5"/>
  <c r="E556" i="5"/>
  <c r="E602" i="5" s="1"/>
  <c r="F556" i="5"/>
  <c r="F602" i="5" s="1"/>
  <c r="E561" i="5"/>
  <c r="F561" i="5"/>
  <c r="E601" i="5"/>
  <c r="F601" i="5"/>
  <c r="C3" i="3"/>
  <c r="D3" i="3"/>
  <c r="C4" i="3"/>
  <c r="D4" i="3"/>
  <c r="Q3" i="6" s="1"/>
  <c r="C5" i="3"/>
  <c r="D5" i="3"/>
  <c r="Q4" i="6" s="1"/>
  <c r="C6" i="3"/>
  <c r="D6" i="3"/>
  <c r="Q5" i="6" s="1"/>
  <c r="C7" i="3"/>
  <c r="D7" i="3"/>
  <c r="C9" i="3"/>
  <c r="D9" i="3"/>
  <c r="C10" i="3"/>
  <c r="D10" i="3"/>
  <c r="C11" i="3"/>
  <c r="D11" i="3"/>
  <c r="C12" i="3"/>
  <c r="D12" i="3"/>
  <c r="C13" i="3"/>
  <c r="D13" i="3"/>
  <c r="C14" i="3"/>
  <c r="D14" i="3"/>
  <c r="D2" i="3"/>
  <c r="C2" i="3"/>
  <c r="C11" i="1"/>
  <c r="C8" i="1"/>
  <c r="C8" i="3" s="1"/>
  <c r="C11" i="2"/>
  <c r="C8" i="2"/>
  <c r="D8" i="3" s="1"/>
  <c r="AG200" i="6" l="1"/>
  <c r="Q200" i="6" s="1"/>
  <c r="Q6" i="6"/>
  <c r="AG168" i="6"/>
  <c r="Q168" i="6" s="1"/>
  <c r="AG169" i="6"/>
  <c r="Q169" i="6" s="1"/>
  <c r="AG197" i="6"/>
  <c r="Q197" i="6" s="1"/>
  <c r="AG275" i="6"/>
  <c r="Q275" i="6" s="1"/>
  <c r="AG271" i="6"/>
  <c r="Q271" i="6" s="1"/>
  <c r="C11" i="6"/>
  <c r="E604" i="5"/>
  <c r="F604" i="5"/>
  <c r="F426" i="3" l="1"/>
  <c r="F427" i="3"/>
  <c r="F429" i="3"/>
  <c r="F430" i="3"/>
  <c r="F432" i="3"/>
  <c r="F425" i="3"/>
  <c r="F401" i="3"/>
  <c r="F400" i="3"/>
  <c r="AF542" i="6" s="1"/>
  <c r="P542" i="6" s="1"/>
  <c r="F399" i="3"/>
  <c r="AF541" i="6" s="1"/>
  <c r="P541" i="6" s="1"/>
  <c r="F398" i="3"/>
  <c r="F397" i="3"/>
  <c r="F396" i="3"/>
  <c r="F395" i="3"/>
  <c r="F394" i="3"/>
  <c r="AF532" i="6" s="1"/>
  <c r="P532" i="6" s="1"/>
  <c r="F393" i="3"/>
  <c r="AF529" i="6" s="1"/>
  <c r="P529" i="6" s="1"/>
  <c r="F390" i="3"/>
  <c r="AF525" i="6" s="1"/>
  <c r="P525" i="6" s="1"/>
  <c r="F389" i="3"/>
  <c r="AF524" i="6" s="1"/>
  <c r="P524" i="6" s="1"/>
  <c r="F385" i="3"/>
  <c r="AF518" i="6" s="1"/>
  <c r="P518" i="6" s="1"/>
  <c r="F376" i="3"/>
  <c r="F375" i="3"/>
  <c r="AF500" i="6" s="1"/>
  <c r="P500" i="6" s="1"/>
  <c r="F371" i="3"/>
  <c r="F365" i="3"/>
  <c r="AF488" i="6" s="1"/>
  <c r="P488" i="6" s="1"/>
  <c r="C361" i="3"/>
  <c r="F360" i="3"/>
  <c r="AF477" i="6" s="1"/>
  <c r="P477" i="6" s="1"/>
  <c r="F359" i="3"/>
  <c r="F358" i="3"/>
  <c r="AF474" i="6" s="1"/>
  <c r="P474" i="6" s="1"/>
  <c r="C357" i="3"/>
  <c r="C351" i="3"/>
  <c r="C352" i="3"/>
  <c r="C353" i="3"/>
  <c r="C354" i="3"/>
  <c r="C350" i="3"/>
  <c r="F350" i="3"/>
  <c r="AF457" i="6" s="1"/>
  <c r="P457" i="6" s="1"/>
  <c r="F345" i="3"/>
  <c r="AF448" i="6" s="1"/>
  <c r="P448" i="6" s="1"/>
  <c r="F344" i="3"/>
  <c r="AF446" i="6" s="1"/>
  <c r="P446" i="6" s="1"/>
  <c r="F343" i="3"/>
  <c r="AF445" i="6" s="1"/>
  <c r="P445" i="6" s="1"/>
  <c r="F342" i="3"/>
  <c r="AF436" i="6" s="1"/>
  <c r="P436" i="6" s="1"/>
  <c r="F341" i="3"/>
  <c r="AF435" i="6" s="1"/>
  <c r="P435" i="6" s="1"/>
  <c r="F340" i="3"/>
  <c r="AF433" i="6" s="1"/>
  <c r="P433" i="6" s="1"/>
  <c r="F339" i="3"/>
  <c r="AF430" i="6" s="1"/>
  <c r="P430" i="6" s="1"/>
  <c r="F338" i="3"/>
  <c r="AF429" i="6" s="1"/>
  <c r="P429" i="6" s="1"/>
  <c r="F337" i="3"/>
  <c r="AF426" i="6" s="1"/>
  <c r="P426" i="6" s="1"/>
  <c r="F336" i="3"/>
  <c r="F335" i="3"/>
  <c r="AF420" i="6" s="1"/>
  <c r="P420" i="6" s="1"/>
  <c r="F334" i="3"/>
  <c r="AF419" i="6" s="1"/>
  <c r="P419" i="6" s="1"/>
  <c r="F333" i="3"/>
  <c r="AF417" i="6" s="1"/>
  <c r="P417" i="6" s="1"/>
  <c r="F331" i="3"/>
  <c r="AF415" i="6" s="1"/>
  <c r="P415" i="6" s="1"/>
  <c r="F330" i="3"/>
  <c r="F329" i="3"/>
  <c r="F328" i="3"/>
  <c r="AF410" i="6" s="1"/>
  <c r="P410" i="6" s="1"/>
  <c r="F327" i="3"/>
  <c r="AF407" i="6" s="1"/>
  <c r="P407" i="6" s="1"/>
  <c r="F326" i="3"/>
  <c r="AF405" i="6" s="1"/>
  <c r="P405" i="6" s="1"/>
  <c r="F325" i="3"/>
  <c r="AF404" i="6" s="1"/>
  <c r="P404" i="6" s="1"/>
  <c r="F324" i="3"/>
  <c r="AF403" i="6" s="1"/>
  <c r="P403" i="6" s="1"/>
  <c r="F320" i="3"/>
  <c r="AF395" i="6" s="1"/>
  <c r="P395" i="6" s="1"/>
  <c r="F314" i="3"/>
  <c r="F313" i="3"/>
  <c r="F312" i="3"/>
  <c r="F311" i="3"/>
  <c r="F310" i="3"/>
  <c r="F309" i="3"/>
  <c r="F308" i="3"/>
  <c r="F307" i="3"/>
  <c r="AF369" i="6" s="1"/>
  <c r="P369" i="6" s="1"/>
  <c r="F306" i="3"/>
  <c r="AF363" i="6" s="1"/>
  <c r="P363" i="6" s="1"/>
  <c r="F304" i="3"/>
  <c r="AF361" i="6" s="1"/>
  <c r="P361" i="6" s="1"/>
  <c r="C299" i="3"/>
  <c r="F301" i="3"/>
  <c r="F300" i="3"/>
  <c r="F299" i="3"/>
  <c r="AF355" i="6" s="1"/>
  <c r="P355" i="6" s="1"/>
  <c r="F297" i="3"/>
  <c r="F296" i="3"/>
  <c r="F295" i="3"/>
  <c r="AF347" i="6" s="1"/>
  <c r="P347" i="6" s="1"/>
  <c r="F294" i="3"/>
  <c r="F293" i="3"/>
  <c r="F292" i="3"/>
  <c r="F291" i="3"/>
  <c r="AF336" i="6" s="1"/>
  <c r="P336" i="6" s="1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5" i="3"/>
  <c r="F274" i="3"/>
  <c r="F273" i="3"/>
  <c r="F272" i="3"/>
  <c r="F270" i="3"/>
  <c r="F269" i="3"/>
  <c r="F268" i="3"/>
  <c r="F266" i="3"/>
  <c r="F265" i="3"/>
  <c r="F264" i="3"/>
  <c r="F260" i="3"/>
  <c r="F259" i="3"/>
  <c r="F258" i="3"/>
  <c r="F257" i="3"/>
  <c r="F256" i="3"/>
  <c r="F255" i="3"/>
  <c r="F254" i="3"/>
  <c r="F252" i="3"/>
  <c r="F250" i="3"/>
  <c r="F249" i="3"/>
  <c r="F248" i="3"/>
  <c r="F247" i="3"/>
  <c r="F244" i="3"/>
  <c r="F243" i="3"/>
  <c r="F242" i="3"/>
  <c r="F241" i="3"/>
  <c r="F240" i="3"/>
  <c r="F239" i="3"/>
  <c r="F238" i="3"/>
  <c r="F237" i="3"/>
  <c r="F236" i="3"/>
  <c r="F233" i="3"/>
  <c r="F232" i="3"/>
  <c r="F231" i="3"/>
  <c r="F230" i="3"/>
  <c r="F229" i="3"/>
  <c r="F228" i="3"/>
  <c r="F227" i="3"/>
  <c r="F226" i="3"/>
  <c r="F225" i="3"/>
  <c r="F223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7" i="3"/>
  <c r="F206" i="3"/>
  <c r="F205" i="3"/>
  <c r="F204" i="3"/>
  <c r="F203" i="3"/>
  <c r="F202" i="3"/>
  <c r="F201" i="3"/>
  <c r="F200" i="3"/>
  <c r="F199" i="3"/>
  <c r="F198" i="3"/>
  <c r="F197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7" i="3"/>
  <c r="F176" i="3"/>
  <c r="F175" i="3"/>
  <c r="F174" i="3"/>
  <c r="F169" i="3"/>
  <c r="F168" i="3"/>
  <c r="F167" i="3"/>
  <c r="F166" i="3"/>
  <c r="F165" i="3"/>
  <c r="F160" i="3"/>
  <c r="AF157" i="6" s="1"/>
  <c r="P157" i="6" s="1"/>
  <c r="F157" i="3"/>
  <c r="F156" i="3"/>
  <c r="F153" i="3"/>
  <c r="F152" i="3"/>
  <c r="F150" i="3"/>
  <c r="AF145" i="6" s="1"/>
  <c r="P145" i="6" s="1"/>
  <c r="F147" i="3"/>
  <c r="D135" i="3"/>
  <c r="D138" i="3"/>
  <c r="D134" i="3"/>
  <c r="F133" i="3"/>
  <c r="AF119" i="6" s="1"/>
  <c r="P119" i="6" s="1"/>
  <c r="F130" i="3"/>
  <c r="AF116" i="6" s="1"/>
  <c r="P116" i="6" s="1"/>
  <c r="F116" i="3"/>
  <c r="F115" i="3"/>
  <c r="F114" i="3"/>
  <c r="F113" i="3"/>
  <c r="F96" i="3"/>
  <c r="AF56" i="6" s="1"/>
  <c r="P56" i="6" s="1"/>
  <c r="F89" i="3"/>
  <c r="F88" i="3"/>
  <c r="F87" i="3"/>
  <c r="F85" i="3"/>
  <c r="F77" i="3"/>
  <c r="F80" i="3"/>
  <c r="F75" i="3"/>
  <c r="AF11" i="6" s="1"/>
  <c r="P11" i="6" s="1"/>
  <c r="D50" i="3"/>
  <c r="D51" i="3"/>
  <c r="D52" i="3"/>
  <c r="D53" i="3"/>
  <c r="D54" i="3"/>
  <c r="D49" i="3"/>
  <c r="M76" i="3"/>
  <c r="M77" i="3"/>
  <c r="M78" i="3"/>
  <c r="M79" i="3"/>
  <c r="M80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75" i="3"/>
  <c r="L76" i="3"/>
  <c r="L77" i="3"/>
  <c r="L78" i="3"/>
  <c r="L79" i="3"/>
  <c r="L80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75" i="3"/>
  <c r="J76" i="3"/>
  <c r="J77" i="3"/>
  <c r="J78" i="3"/>
  <c r="J79" i="3"/>
  <c r="J80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75" i="3"/>
  <c r="I76" i="3"/>
  <c r="I77" i="3"/>
  <c r="I78" i="3"/>
  <c r="I79" i="3"/>
  <c r="I80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75" i="3"/>
  <c r="F408" i="3"/>
  <c r="F409" i="3"/>
  <c r="F410" i="3"/>
  <c r="F411" i="3"/>
  <c r="F412" i="3"/>
  <c r="F413" i="3"/>
  <c r="F414" i="3"/>
  <c r="F407" i="3"/>
  <c r="D361" i="3"/>
  <c r="D357" i="3"/>
  <c r="D351" i="3"/>
  <c r="D352" i="3"/>
  <c r="D353" i="3"/>
  <c r="D354" i="3"/>
  <c r="D350" i="3"/>
  <c r="D299" i="3"/>
  <c r="D107" i="3"/>
  <c r="D72" i="3"/>
  <c r="D71" i="3"/>
  <c r="D70" i="3"/>
  <c r="D69" i="3"/>
  <c r="D68" i="3"/>
  <c r="D67" i="3"/>
  <c r="D63" i="3"/>
  <c r="D62" i="3"/>
  <c r="D61" i="3"/>
  <c r="D60" i="3"/>
  <c r="D59" i="3"/>
  <c r="D58" i="3"/>
  <c r="D45" i="3"/>
  <c r="D44" i="3"/>
  <c r="D43" i="3"/>
  <c r="D40" i="3"/>
  <c r="D39" i="3"/>
  <c r="D38" i="3"/>
  <c r="D35" i="3"/>
  <c r="D34" i="3"/>
  <c r="D33" i="3"/>
  <c r="D30" i="3"/>
  <c r="D29" i="3"/>
  <c r="D28" i="3"/>
  <c r="C45" i="3" l="1"/>
  <c r="C44" i="3"/>
  <c r="C43" i="3"/>
  <c r="C40" i="3"/>
  <c r="C39" i="3"/>
  <c r="C38" i="3"/>
  <c r="C35" i="3"/>
  <c r="C34" i="3"/>
  <c r="C33" i="3"/>
  <c r="C30" i="3"/>
  <c r="C29" i="3"/>
  <c r="C28" i="3"/>
  <c r="C1" i="3"/>
  <c r="D1" i="3"/>
  <c r="D17" i="3"/>
  <c r="D18" i="3"/>
  <c r="D19" i="3"/>
  <c r="D20" i="3"/>
  <c r="D21" i="3"/>
  <c r="D22" i="3"/>
  <c r="D23" i="3"/>
  <c r="D24" i="3"/>
  <c r="D16" i="3"/>
  <c r="C17" i="3"/>
  <c r="C18" i="3"/>
  <c r="C19" i="3"/>
  <c r="C20" i="3"/>
  <c r="C21" i="3"/>
  <c r="C22" i="3"/>
  <c r="C23" i="3"/>
  <c r="C24" i="3"/>
  <c r="C16" i="3"/>
</calcChain>
</file>

<file path=xl/sharedStrings.xml><?xml version="1.0" encoding="utf-8"?>
<sst xmlns="http://schemas.openxmlformats.org/spreadsheetml/2006/main" count="8753" uniqueCount="2961">
  <si>
    <t xml:space="preserve">  OPERATIONAL TANKAGE:</t>
  </si>
  <si>
    <t xml:space="preserve">  TANKAGE VOLUME TO MEET SHIP SYSTEM REQUIREMENTS</t>
  </si>
  <si>
    <t xml:space="preserve">  NOTE - BALLAST TANKAGE (SSCS 3.92) MUST BE ASSIGNED</t>
  </si>
  <si>
    <t xml:space="preserve">  TO LARGE OBJECT SPACES BY THE USER AND WILL NOT BE</t>
  </si>
  <si>
    <t xml:space="preserve">  USED BY HULL SUBDIVISION TO ASSIGN TANKAGE</t>
  </si>
  <si>
    <t xml:space="preserve">  TANKAGE VOLUME REQUIRED:</t>
  </si>
  <si>
    <t xml:space="preserve">  THE FOLLOWING VOLUME WILL BE ASSIGNED TO COMPARTMENTS</t>
  </si>
  <si>
    <t xml:space="preserve">  BY HULL SUBDIVISION MODULE</t>
  </si>
  <si>
    <t xml:space="preserve">  NOTE - VOID VOLUME (SSCS 3.95) DOES NOT INCLUDE</t>
  </si>
  <si>
    <t xml:space="preserve">  VOLUME IN VOID LARGE OBJECT SPACES</t>
  </si>
  <si>
    <t>FULL LOAD WT, MTON</t>
  </si>
  <si>
    <t>TOTAL CREW ACC</t>
  </si>
  <si>
    <t>PASSWAY MARGIN FAC</t>
  </si>
  <si>
    <t>HULL AVG DECK HT, M</t>
  </si>
  <si>
    <t>MR VOLUME, M3</t>
  </si>
  <si>
    <t>SPACE MARGIN FAC</t>
  </si>
  <si>
    <t>TANK VOL REQ,M3</t>
  </si>
  <si>
    <t>TANK MARGIN FAC</t>
  </si>
  <si>
    <t>SHAFT ALLEY VOLUME,M3</t>
  </si>
  <si>
    <t>AREA M2</t>
  </si>
  <si>
    <t>TOTAL</t>
  </si>
  <si>
    <t>DKHS ONLY</t>
  </si>
  <si>
    <t>HULL OR DKHS</t>
  </si>
  <si>
    <t>SSCS</t>
  </si>
  <si>
    <t>GROUP</t>
  </si>
  <si>
    <t>VOLUME M3</t>
  </si>
  <si>
    <t>SD</t>
  </si>
  <si>
    <t>MISSION SUPPORT</t>
  </si>
  <si>
    <t>T</t>
  </si>
  <si>
    <t>D</t>
  </si>
  <si>
    <t>E</t>
  </si>
  <si>
    <t>COMMAND,COMMUNICATION+SURV</t>
  </si>
  <si>
    <t>EXTERIOR COMMUNICATIONS</t>
  </si>
  <si>
    <t>RADIO</t>
  </si>
  <si>
    <t>UNDERWATER SYSTEMS</t>
  </si>
  <si>
    <t>VISUAL COM</t>
  </si>
  <si>
    <t>SURVEILLANCE SYS</t>
  </si>
  <si>
    <t>SURFACE SURV (RADAR)</t>
  </si>
  <si>
    <t>UNDERWATER SURV (SONAR)</t>
  </si>
  <si>
    <t>COMMAND+CONTROL</t>
  </si>
  <si>
    <t>COMBAT INFO CENTER</t>
  </si>
  <si>
    <t>CONNING STATIONS</t>
  </si>
  <si>
    <t>DATA PROCESSING</t>
  </si>
  <si>
    <t>COUNTERMEASURES</t>
  </si>
  <si>
    <t>ELECTRONIC</t>
  </si>
  <si>
    <t>TORPEDO</t>
  </si>
  <si>
    <t>MISSILE</t>
  </si>
  <si>
    <t>INTERIOR COMMUNICATIONS</t>
  </si>
  <si>
    <t>ENVIRONMENTAL CNTL SUP SYS</t>
  </si>
  <si>
    <t>WEAPONS</t>
  </si>
  <si>
    <t>GUNS</t>
  </si>
  <si>
    <t>MISSILES</t>
  </si>
  <si>
    <t>ROCKETS</t>
  </si>
  <si>
    <t>TORPEDOS</t>
  </si>
  <si>
    <t>DEPTH CHARGES</t>
  </si>
  <si>
    <t>MINES</t>
  </si>
  <si>
    <t>MULT EJECT RACK STOW</t>
  </si>
  <si>
    <t>WEAP MODULE STA &amp; SERV INTER</t>
  </si>
  <si>
    <t>AVIATION</t>
  </si>
  <si>
    <t>AVIATION LAUNCH+RECOVERY</t>
  </si>
  <si>
    <t>LAUNCHING+RECOVERY AREAS</t>
  </si>
  <si>
    <t>LAUNCHING+RECOVERY EQUIP</t>
  </si>
  <si>
    <t>HELICOPTER RECOVERY</t>
  </si>
  <si>
    <t>AVIATION CONTROL</t>
  </si>
  <si>
    <t>FLIGHT CONTROL</t>
  </si>
  <si>
    <t>HELO FLIGHT CONTROL</t>
  </si>
  <si>
    <t>NAVIGATION</t>
  </si>
  <si>
    <t>OPERATIONS</t>
  </si>
  <si>
    <t>AVIATION HANDLING</t>
  </si>
  <si>
    <t>AIRCRAFT ELEVATORS</t>
  </si>
  <si>
    <t>AIRCRAFT CRANE</t>
  </si>
  <si>
    <t>GROUND SUPPORT EQUIPMENT</t>
  </si>
  <si>
    <t>AIRCRAFT STOWAGE</t>
  </si>
  <si>
    <t>AVIATION ADMINISTRATION</t>
  </si>
  <si>
    <t>AIR WING</t>
  </si>
  <si>
    <t>AVIATION MAINTENANCE</t>
  </si>
  <si>
    <t>AIRFRAME SHOPS</t>
  </si>
  <si>
    <t>AIRCRAFT ORDINANCE</t>
  </si>
  <si>
    <t>CONTROL</t>
  </si>
  <si>
    <t>HANDLING</t>
  </si>
  <si>
    <t>STOWAGE</t>
  </si>
  <si>
    <t>AVIATION FUEL SYS</t>
  </si>
  <si>
    <t>JP-5 SYSTEM</t>
  </si>
  <si>
    <t>JP-5 TRANSFER</t>
  </si>
  <si>
    <t>JP-5 HANDLING</t>
  </si>
  <si>
    <t>AVIATION FUEL</t>
  </si>
  <si>
    <t>AVIATION STORES</t>
  </si>
  <si>
    <t>AVIATION CONSUMABLES</t>
  </si>
  <si>
    <t>SD STOREROOM</t>
  </si>
  <si>
    <t>CARGO</t>
  </si>
  <si>
    <t>CARGO ELEVATORS</t>
  </si>
  <si>
    <t>INTERMEDIATE MAINT FAC</t>
  </si>
  <si>
    <t>FLAG FACILITIES</t>
  </si>
  <si>
    <t>ADMIN</t>
  </si>
  <si>
    <t>SPECIAL MISSIONS</t>
  </si>
  <si>
    <t>SM ARMS,PYRO+SALU BAT</t>
  </si>
  <si>
    <t>SM ARMS (LOCKER)</t>
  </si>
  <si>
    <t>PYROTECHNICS</t>
  </si>
  <si>
    <t>SALUTING BAT (MAGAZINE)</t>
  </si>
  <si>
    <t>ARMORY</t>
  </si>
  <si>
    <t>SECURITY FORCE EQUIP</t>
  </si>
  <si>
    <t>PILOT HOUSE</t>
  </si>
  <si>
    <t>CHART ROOM</t>
  </si>
  <si>
    <t>HELICOPTER LANDING AREA</t>
  </si>
  <si>
    <t>HELICOPTER CONTROL STATION</t>
  </si>
  <si>
    <t>HELICOPTER HANGAR</t>
  </si>
  <si>
    <t>ORGANIZATIONAL LEVEL MAINTANENCE</t>
  </si>
  <si>
    <t>HUMAN SUPPORT</t>
  </si>
  <si>
    <t>LIVING</t>
  </si>
  <si>
    <t>OFFICER LIVING</t>
  </si>
  <si>
    <t>BERTHING</t>
  </si>
  <si>
    <t>SHIP OFFICER</t>
  </si>
  <si>
    <t>AVIATION OFFICER</t>
  </si>
  <si>
    <t>FLAG OFFICER</t>
  </si>
  <si>
    <t>SANITARY</t>
  </si>
  <si>
    <t>CPO LIVING</t>
  </si>
  <si>
    <t>SHIP CPO</t>
  </si>
  <si>
    <t>CREW LIVING</t>
  </si>
  <si>
    <t>SHIP CREW</t>
  </si>
  <si>
    <t>01      LIVING SPACE</t>
  </si>
  <si>
    <t>01      SANITARY</t>
  </si>
  <si>
    <t>RECREATION</t>
  </si>
  <si>
    <t>GENERAL SANITARY FACILITIES</t>
  </si>
  <si>
    <t>SHIP RECREATION FAC</t>
  </si>
  <si>
    <t>MUSIC</t>
  </si>
  <si>
    <t>MOTION PIC FILM+EQUIP</t>
  </si>
  <si>
    <t>PHYSICAL FITNESS</t>
  </si>
  <si>
    <t>TV ROOM</t>
  </si>
  <si>
    <t>TRAINING</t>
  </si>
  <si>
    <t>COMMISSARY</t>
  </si>
  <si>
    <t>FOOD SERVICE</t>
  </si>
  <si>
    <t>OFFICER</t>
  </si>
  <si>
    <t>CPO</t>
  </si>
  <si>
    <t>CREW</t>
  </si>
  <si>
    <t>MESS MANAGEMENT SPLST</t>
  </si>
  <si>
    <t>COMMISSARY SERVICE SPACES</t>
  </si>
  <si>
    <t>FOOD PREPARATION SPACES</t>
  </si>
  <si>
    <t>GALLEY</t>
  </si>
  <si>
    <t>PANTRIES</t>
  </si>
  <si>
    <t>SCULLERY</t>
  </si>
  <si>
    <t>GARBAGE DISPOSAL</t>
  </si>
  <si>
    <t>PREPARED FOOD HANDLING</t>
  </si>
  <si>
    <t>FOOD STORAGE+ISSUE</t>
  </si>
  <si>
    <t>CHILL PROVISIONS</t>
  </si>
  <si>
    <t>FROZEN PROVISIONS</t>
  </si>
  <si>
    <t>DRY PROVISIONS</t>
  </si>
  <si>
    <t>ISSUE</t>
  </si>
  <si>
    <t>MEDICAL+DENTAL (MEDICAL)</t>
  </si>
  <si>
    <t>MEDICAL FACILITIES</t>
  </si>
  <si>
    <t>INTENSIVE CARE QUIET ROOM</t>
  </si>
  <si>
    <t>BATTLE DRESSING</t>
  </si>
  <si>
    <t>AUX BATTLE DRESSING</t>
  </si>
  <si>
    <t>MAIN BATTLE DRESSING</t>
  </si>
  <si>
    <t>MEDICAL &amp; DENTAL STOWAGE</t>
  </si>
  <si>
    <t>MEDICAL</t>
  </si>
  <si>
    <t>DENTAL</t>
  </si>
  <si>
    <t>MEDICAL &amp; DENTAL ADMIN</t>
  </si>
  <si>
    <t>DENTAL ADMIN</t>
  </si>
  <si>
    <t>GENERAL SERVICES</t>
  </si>
  <si>
    <t>SHIP STORE FACILITIES</t>
  </si>
  <si>
    <t>LAUNDRY FACILITIES</t>
  </si>
  <si>
    <t>BARBER SERVICE</t>
  </si>
  <si>
    <t>POSTAL SERVICE</t>
  </si>
  <si>
    <t>BRIG</t>
  </si>
  <si>
    <t>RELIGIOUS</t>
  </si>
  <si>
    <t>PERSONNEL STORES</t>
  </si>
  <si>
    <t>BAGGAGE STOREROOMS</t>
  </si>
  <si>
    <t>MESSROOM STORES</t>
  </si>
  <si>
    <t>FOUL WEATHER GEAR</t>
  </si>
  <si>
    <t>LINEN STOWAGE</t>
  </si>
  <si>
    <t>FOLDING CHAIR STOREROOM</t>
  </si>
  <si>
    <t>CBR PROTECTION</t>
  </si>
  <si>
    <t>CBR DECON STATIONS</t>
  </si>
  <si>
    <t>CBR DEFENSE EQUIPMENT</t>
  </si>
  <si>
    <t>CPS AIRLOCKS</t>
  </si>
  <si>
    <t>LIFESAVING EQUIPMENT</t>
  </si>
  <si>
    <t>LIFEJACKET LOCKER</t>
  </si>
  <si>
    <t>COMMANDING OFFICER CABIN</t>
  </si>
  <si>
    <t>COMMANDING OFFICER STATEROOM</t>
  </si>
  <si>
    <t>EXECUTIVE OFFICER STATEROOM</t>
  </si>
  <si>
    <t>DEPARTMENT HEAD STATEROOM</t>
  </si>
  <si>
    <t>OFFICER STATEROOM (DBL)</t>
  </si>
  <si>
    <t>COMMANDING OFFICER BATH</t>
  </si>
  <si>
    <t>OFFICER BATH</t>
  </si>
  <si>
    <t>EXECUTIVE OFFICER BATH</t>
  </si>
  <si>
    <t>OFFICER WR, WC &amp; SH</t>
  </si>
  <si>
    <t>RECREATION ROOM</t>
  </si>
  <si>
    <t>LIBRARY</t>
  </si>
  <si>
    <t>CREW LOUNGE</t>
  </si>
  <si>
    <t>LADIES RETIRING ROOM</t>
  </si>
  <si>
    <t>BRIDGE WASHRM+WATER CLOSET</t>
  </si>
  <si>
    <t>DECK WASHRM+WATER CLOSET</t>
  </si>
  <si>
    <t>ENG WASHRM+WATER CLOSET</t>
  </si>
  <si>
    <t>ENTERTAINMENT EQUIP STRM</t>
  </si>
  <si>
    <t>PROJECTION EQUIPMENT ROOM</t>
  </si>
  <si>
    <t>ATHLETIC GEAR STRM</t>
  </si>
  <si>
    <t>RECOGNITION TRAINING LKR</t>
  </si>
  <si>
    <t>WARDROOM MESSRM &amp; LOUNGE</t>
  </si>
  <si>
    <t>CPO MESSROOM AND LOUNGE</t>
  </si>
  <si>
    <t>1ST CLASS MESSROOM</t>
  </si>
  <si>
    <t>CREW MESSROOM</t>
  </si>
  <si>
    <t>MESS MNGMNT SPLST MESSRM</t>
  </si>
  <si>
    <t>COMMANDING OFFICER GALLEY</t>
  </si>
  <si>
    <t>WARD ROOM GALLEY</t>
  </si>
  <si>
    <t>CPO GALLEY</t>
  </si>
  <si>
    <t>CREW GALLEY</t>
  </si>
  <si>
    <t>CPO PANTRY</t>
  </si>
  <si>
    <t>CREW SCULLERY</t>
  </si>
  <si>
    <t>PROVISION ISSUE ROOM</t>
  </si>
  <si>
    <t>DIET PANTRY</t>
  </si>
  <si>
    <t>MEDICAL LINEN ISSUE ROOM</t>
  </si>
  <si>
    <t>MEDICAL TREATMENT ROOM</t>
  </si>
  <si>
    <t>MEDICAL UTILITY ROOM</t>
  </si>
  <si>
    <t>WARD</t>
  </si>
  <si>
    <t>WARD BATH</t>
  </si>
  <si>
    <t>MORGUE</t>
  </si>
  <si>
    <t>BATTLE DRESSING STATION (FWD)</t>
  </si>
  <si>
    <t>BATTLE DRESSING STATION (AFT)</t>
  </si>
  <si>
    <t>MEDICAL STOREROOM</t>
  </si>
  <si>
    <t>BATTLE DRESSING STRM</t>
  </si>
  <si>
    <t>SHIP STORE</t>
  </si>
  <si>
    <t>VENDING MACHINE AREA</t>
  </si>
  <si>
    <t>SHIP STORE STORERM</t>
  </si>
  <si>
    <t>LAUNDRY</t>
  </si>
  <si>
    <t>LAUNDRY STOREROOM</t>
  </si>
  <si>
    <t>BARBER SHOP</t>
  </si>
  <si>
    <t>POST OFFICE</t>
  </si>
  <si>
    <t>OFFICER BAGGAGE STRM</t>
  </si>
  <si>
    <t>CPO BAGGAGE STRM</t>
  </si>
  <si>
    <t>CREW BAGGAGE STRM</t>
  </si>
  <si>
    <t>WARDROOM STOREROOM</t>
  </si>
  <si>
    <t>CPO STOREROOM</t>
  </si>
  <si>
    <t>COMMANDING OFFICER STRM</t>
  </si>
  <si>
    <t>FOUL WEATHER GEAR LOCKER</t>
  </si>
  <si>
    <t>CBR DEFENSE EQP STRMS</t>
  </si>
  <si>
    <t>LOC</t>
  </si>
  <si>
    <t>SHIP CNTL SYS(STEERING&amp;DIVING)</t>
  </si>
  <si>
    <t>STEERING GEAR</t>
  </si>
  <si>
    <t>ROLL STABILIZATION</t>
  </si>
  <si>
    <t>STEERING CONTROL</t>
  </si>
  <si>
    <t>DAMAGE CONTROL</t>
  </si>
  <si>
    <t>DAMAGE CNTRL CENTRAL</t>
  </si>
  <si>
    <t>REPAIR STATIONS</t>
  </si>
  <si>
    <t>FIRE FIGHTING</t>
  </si>
  <si>
    <t>SHIP ADMINISTRATION</t>
  </si>
  <si>
    <t>GENERAL SHIP</t>
  </si>
  <si>
    <t>EXECUTIVE DEPT</t>
  </si>
  <si>
    <t>ENGINEERING DEPT</t>
  </si>
  <si>
    <t>SUPPLY DEPT</t>
  </si>
  <si>
    <t>DECK DEPT</t>
  </si>
  <si>
    <t>OPERATIONS DEPT</t>
  </si>
  <si>
    <t>WEAPONS DEPT</t>
  </si>
  <si>
    <t>REACTOR DEPT</t>
  </si>
  <si>
    <t>MARINES</t>
  </si>
  <si>
    <t>SHIP PHOTO/PRINT SVCS</t>
  </si>
  <si>
    <t>DECK AUXILIARIES</t>
  </si>
  <si>
    <t>ANCHOR HANDLING</t>
  </si>
  <si>
    <t>LINE HANDLING</t>
  </si>
  <si>
    <t>TRANSFER-AT-SEA</t>
  </si>
  <si>
    <t>SHIP BOATS STOWAGE</t>
  </si>
  <si>
    <t>SHIP MAINTENANCE</t>
  </si>
  <si>
    <t>AUX (FILTER CLEANING)</t>
  </si>
  <si>
    <t>ELECTRICAL</t>
  </si>
  <si>
    <t>MECH (GENERAL WK SHOP)</t>
  </si>
  <si>
    <t>PROPULSION MAINTENANCE</t>
  </si>
  <si>
    <t>OPERATIONS DEPT (ELECT SHOP)</t>
  </si>
  <si>
    <t>WEAPONS DEPT (ORDINANCE SHOP)</t>
  </si>
  <si>
    <t>DECK DEPT (CARPENTER SHOP)</t>
  </si>
  <si>
    <t>HAZARDOUS MATL (FLAM LIQ)</t>
  </si>
  <si>
    <t>SPECIAL CLOTHING</t>
  </si>
  <si>
    <t>GEN USE CONSUM+REPAIR PART</t>
  </si>
  <si>
    <t>SHIP STORE STORES</t>
  </si>
  <si>
    <t>STORES HANDLING</t>
  </si>
  <si>
    <t>DECK DEPT (BOATSWAIN STORES)</t>
  </si>
  <si>
    <t>CLEANING GEAR STOWAGE</t>
  </si>
  <si>
    <t>ACCESS</t>
  </si>
  <si>
    <t>INTERIOR</t>
  </si>
  <si>
    <t>NORMAL ACCESS</t>
  </si>
  <si>
    <t>ESCAPE ACCESS</t>
  </si>
  <si>
    <t>TANKS</t>
  </si>
  <si>
    <t>SHIP PROP SYS TNKG</t>
  </si>
  <si>
    <t>SHIP ENDUR FUEL TNKG</t>
  </si>
  <si>
    <t>ENDUR FUEL TANK</t>
  </si>
  <si>
    <t>FUEL OR BALLAST TANK</t>
  </si>
  <si>
    <t>FEEDWATER TNKG</t>
  </si>
  <si>
    <t>BALLAST TNKG</t>
  </si>
  <si>
    <t>FRESH WATER TNKG</t>
  </si>
  <si>
    <t>POLLUTION CNTRL TNKG</t>
  </si>
  <si>
    <t>SEWAGE TANKS</t>
  </si>
  <si>
    <t>OILY WASTE TANKS</t>
  </si>
  <si>
    <t>VOIDS</t>
  </si>
  <si>
    <t>COFFERDAMS</t>
  </si>
  <si>
    <t>CROSS FLOODING DUCTS</t>
  </si>
  <si>
    <t>SHIP SUPPORT</t>
  </si>
  <si>
    <t>EXEC DEPT (MASTER-AT-ARMS STOR)</t>
  </si>
  <si>
    <t>PROPULSION SYSTEM</t>
  </si>
  <si>
    <t>INTERNAL COMBUSTION</t>
  </si>
  <si>
    <t>ENERGY GENERATION</t>
  </si>
  <si>
    <t>COMBUSTION AIR</t>
  </si>
  <si>
    <t>EXHAUST</t>
  </si>
  <si>
    <t>GAS TURBINE</t>
  </si>
  <si>
    <t>SCREW PROPELLER</t>
  </si>
  <si>
    <t>PROP SHAFT ALLEY</t>
  </si>
  <si>
    <t>WATERJET ROOMS</t>
  </si>
  <si>
    <t>AIR FAN ROOMS</t>
  </si>
  <si>
    <t>AUX MACHINERY</t>
  </si>
  <si>
    <t>A/C &amp; REFRIGERATION</t>
  </si>
  <si>
    <t>A/C (INCL VENT)</t>
  </si>
  <si>
    <t>REFRIGERATION</t>
  </si>
  <si>
    <t>POWER GENERATION</t>
  </si>
  <si>
    <t>BATTERIES</t>
  </si>
  <si>
    <t>400 HERTZ</t>
  </si>
  <si>
    <t>PWR DIST &amp; CNTRL</t>
  </si>
  <si>
    <t>DEGAUSSING</t>
  </si>
  <si>
    <t>SEWAGE</t>
  </si>
  <si>
    <t>TRASH</t>
  </si>
  <si>
    <t>MECHANICAL SYSTEMS</t>
  </si>
  <si>
    <t>VENTILATION SYSTEMS</t>
  </si>
  <si>
    <t>SHIP MACHINERY SYSTEM</t>
  </si>
  <si>
    <t>AUX PROPULSION SYSTEMS</t>
  </si>
  <si>
    <t>PROPULSOR &amp; TRANSMISSION SYST</t>
  </si>
  <si>
    <t>CYCLOIDAL PROPELLER ROOMS</t>
  </si>
  <si>
    <t>GENERAL (AUX MACH DELTA)</t>
  </si>
  <si>
    <t>SHIP SERVICE PWR GEN</t>
  </si>
  <si>
    <t>POLLUTION CONTROL SYSTEMS</t>
  </si>
  <si>
    <t>OP TANKAGE MARGIN</t>
  </si>
  <si>
    <t>TOTAL OP TANKAGE</t>
  </si>
  <si>
    <t>TANKAGE REQ MARGIN</t>
  </si>
  <si>
    <t>TANKAGE VOL REQ</t>
  </si>
  <si>
    <t>1      HELICOPTER CONTROL STATION</t>
  </si>
  <si>
    <t>LIVING SPACE</t>
  </si>
  <si>
    <t xml:space="preserve">HAB STD = NAVY                                                                  </t>
  </si>
  <si>
    <t>R)EXEC DEPT (MASTER-AT-ARMS STO</t>
  </si>
  <si>
    <t>BLK 1</t>
  </si>
  <si>
    <t>FUTURE</t>
  </si>
  <si>
    <t>AREA M2 TOTAL REQUIRED</t>
  </si>
  <si>
    <t>PAYLOAD REQUIRED</t>
  </si>
  <si>
    <t>TOTAL AVAILABLE</t>
  </si>
  <si>
    <t>VOL M3 TOTAL ACTUAL</t>
  </si>
  <si>
    <t>TOTAL AREA M2</t>
  </si>
  <si>
    <t>DKHS AREA M2</t>
  </si>
  <si>
    <t>SHIP MOBILITY SYSTEM</t>
  </si>
  <si>
    <t>UNASSIGNED</t>
  </si>
  <si>
    <t>PERCENT TOTAL AREA</t>
  </si>
  <si>
    <t>FLD</t>
  </si>
  <si>
    <t>Full Load Disp</t>
  </si>
  <si>
    <t>(m)</t>
  </si>
  <si>
    <t>Loa</t>
  </si>
  <si>
    <t>Length Overall</t>
  </si>
  <si>
    <t>Lbp</t>
  </si>
  <si>
    <t>Length Between Perpendiculars</t>
  </si>
  <si>
    <t>B</t>
  </si>
  <si>
    <t>Beam</t>
  </si>
  <si>
    <t>Depth</t>
  </si>
  <si>
    <t>Draft</t>
  </si>
  <si>
    <t>Cb</t>
  </si>
  <si>
    <t>Cm</t>
  </si>
  <si>
    <t>Cp</t>
  </si>
  <si>
    <t>Pwr</t>
  </si>
  <si>
    <t>Installed Power</t>
  </si>
  <si>
    <t>(kW)</t>
  </si>
  <si>
    <t>ePwr</t>
  </si>
  <si>
    <t>Generator Power</t>
  </si>
  <si>
    <t>Accom</t>
  </si>
  <si>
    <t>Total Number of Accommodations</t>
  </si>
  <si>
    <t>Vk</t>
  </si>
  <si>
    <t>Speed (sustained)</t>
  </si>
  <si>
    <t>(kt)</t>
  </si>
  <si>
    <t>Ship Total</t>
  </si>
  <si>
    <t>Group 4 Total</t>
  </si>
  <si>
    <t>Total</t>
  </si>
  <si>
    <t>4.36201</t>
  </si>
  <si>
    <t>Fan Rm Pressure Zone No 3</t>
  </si>
  <si>
    <t>01-240-01-Q</t>
  </si>
  <si>
    <t>01 Lvl</t>
  </si>
  <si>
    <t>Fan Rm Pressure Zone No 2</t>
  </si>
  <si>
    <t>01-200-2-Q</t>
  </si>
  <si>
    <t>01-190-1-Q</t>
  </si>
  <si>
    <t>01-126-3-Q</t>
  </si>
  <si>
    <t>Fan Rm Pressure Zone No 1</t>
  </si>
  <si>
    <t>01-110-3-Q</t>
  </si>
  <si>
    <t>Fan Rm (Sonar Ctrl Rm/CSER No 1)</t>
  </si>
  <si>
    <t>2-042-2-Q</t>
  </si>
  <si>
    <t>1st Platf</t>
  </si>
  <si>
    <t>Fan Rm (S)</t>
  </si>
  <si>
    <t>03-142-3-Q</t>
  </si>
  <si>
    <t>03 Lvl</t>
  </si>
  <si>
    <t>Fan Rm (Radio Rm, Comm Ctr &amp; CIC)</t>
  </si>
  <si>
    <t>01-158-0-Q</t>
  </si>
  <si>
    <t>Fan Rm (P)</t>
  </si>
  <si>
    <t>03-142-4-Q</t>
  </si>
  <si>
    <t>Fan Rm</t>
  </si>
  <si>
    <t>3-362-0-Q</t>
  </si>
  <si>
    <t>2nd Platf</t>
  </si>
  <si>
    <t>3-164-2-Q</t>
  </si>
  <si>
    <t>2-430-1-Q</t>
  </si>
  <si>
    <t>1-078-2-Q</t>
  </si>
  <si>
    <t>Main Deck</t>
  </si>
  <si>
    <t>1-078-1-Q</t>
  </si>
  <si>
    <t>01-338-4-Q</t>
  </si>
  <si>
    <t>01-338-1-Q</t>
  </si>
  <si>
    <t>01-300-2-Q</t>
  </si>
  <si>
    <t>03-152-2-Q</t>
  </si>
  <si>
    <t>4.34203</t>
  </si>
  <si>
    <t>Trash Disposal Rm</t>
  </si>
  <si>
    <t>2-242-2-Q</t>
  </si>
  <si>
    <t>4.33401012</t>
  </si>
  <si>
    <t>Degaussing Power Rm</t>
  </si>
  <si>
    <t>2-240-0-Q</t>
  </si>
  <si>
    <t>4.332204</t>
  </si>
  <si>
    <t>Power Supply Rm</t>
  </si>
  <si>
    <t>2-174-4-Q</t>
  </si>
  <si>
    <t>Switchboard Room No 4</t>
  </si>
  <si>
    <t>2-381-1-Q</t>
  </si>
  <si>
    <t>4.332202</t>
  </si>
  <si>
    <t>Switchboard Rm No 3</t>
  </si>
  <si>
    <t>01-338-2-Q</t>
  </si>
  <si>
    <t>Switchboard Rm No 2</t>
  </si>
  <si>
    <t>1-254-2-Q</t>
  </si>
  <si>
    <t>Switchboard Rm No 1</t>
  </si>
  <si>
    <t>1-158-4-Q</t>
  </si>
  <si>
    <t>4.332201</t>
  </si>
  <si>
    <t>Load Center Rm No 1</t>
  </si>
  <si>
    <t>03-142-2-Q</t>
  </si>
  <si>
    <t>4.332101</t>
  </si>
  <si>
    <t>Wiring Trunk</t>
  </si>
  <si>
    <t>1-158-2-Q</t>
  </si>
  <si>
    <t>04-158-0-Q</t>
  </si>
  <si>
    <t>04 Lvl</t>
  </si>
  <si>
    <t>04-157-0-Q</t>
  </si>
  <si>
    <t>4.331501</t>
  </si>
  <si>
    <t>Shore Power Sta</t>
  </si>
  <si>
    <t>01-240-0-Q</t>
  </si>
  <si>
    <t>High-Voltage Shore Power Receiving Station</t>
  </si>
  <si>
    <t>01-240-1-Q</t>
  </si>
  <si>
    <t>4.331402</t>
  </si>
  <si>
    <t>Power Supply Conversion Rm</t>
  </si>
  <si>
    <t>3-126-2-Q</t>
  </si>
  <si>
    <t>Power Conversion Rm</t>
  </si>
  <si>
    <t>3-319-0-Q</t>
  </si>
  <si>
    <t>4.32004</t>
  </si>
  <si>
    <t>Fan Coil Unit Enclosure</t>
  </si>
  <si>
    <t>02-142-2-Q</t>
  </si>
  <si>
    <t>02 Lvl</t>
  </si>
  <si>
    <t>4.32001</t>
  </si>
  <si>
    <t>AC Mchry &amp; Pump Rm</t>
  </si>
  <si>
    <t>5-300-01-E</t>
  </si>
  <si>
    <t>Innrbtm</t>
  </si>
  <si>
    <t>4.31001</t>
  </si>
  <si>
    <t>Auxiliary Mchry Rm No 2</t>
  </si>
  <si>
    <t>4-220-0-E</t>
  </si>
  <si>
    <t>Hold</t>
  </si>
  <si>
    <t>Auxiliary Mchry Rm No 1</t>
  </si>
  <si>
    <t>4-126-0-E</t>
  </si>
  <si>
    <t xml:space="preserve">     Group 4.3: Auxiliary Systems</t>
  </si>
  <si>
    <t>4.21002</t>
  </si>
  <si>
    <t>CP Propeller Hyd Oil Sump Tank</t>
  </si>
  <si>
    <t>4-254-2-F</t>
  </si>
  <si>
    <t>4-208-1-F</t>
  </si>
  <si>
    <t xml:space="preserve">     Group 4.2: Propulsor &amp; Transmission Systems</t>
  </si>
  <si>
    <t>4.15301</t>
  </si>
  <si>
    <t>SS GTRB Gen Exhaust Trunk</t>
  </si>
  <si>
    <t>2-166-2-Q</t>
  </si>
  <si>
    <t>1-370-2-Q</t>
  </si>
  <si>
    <t>4.15201</t>
  </si>
  <si>
    <t>SS GTRB Gen Intake/Exhaust Trunk</t>
  </si>
  <si>
    <t>2-161-2-Q</t>
  </si>
  <si>
    <t>1-254-1-Q</t>
  </si>
  <si>
    <t>SS GTRB Gen Intake Trunk</t>
  </si>
  <si>
    <t>1-388-2-Q</t>
  </si>
  <si>
    <t>1-260-1-Q</t>
  </si>
  <si>
    <t>01-388-2-Q</t>
  </si>
  <si>
    <t>SS GTRB Gen Intake</t>
  </si>
  <si>
    <t>01-260-1-Q</t>
  </si>
  <si>
    <t>03-174-0-Q</t>
  </si>
  <si>
    <t>SS GRTB Gen Intake/Exhaust Trunk</t>
  </si>
  <si>
    <t>02-161-2-Q</t>
  </si>
  <si>
    <t>4.15104</t>
  </si>
  <si>
    <t>Generator Rm</t>
  </si>
  <si>
    <t>3-370-0-E</t>
  </si>
  <si>
    <t>4.14402008</t>
  </si>
  <si>
    <t>Central Control Sta &amp; DC Central</t>
  </si>
  <si>
    <t>1-268-0-C</t>
  </si>
  <si>
    <t>4.14301</t>
  </si>
  <si>
    <t>Uptake Eng Rm No 2</t>
  </si>
  <si>
    <t>01-248-0-Q</t>
  </si>
  <si>
    <t>02-242-0-Q</t>
  </si>
  <si>
    <t>Uptake Eng Rm No 1</t>
  </si>
  <si>
    <t>02-186-0-Q</t>
  </si>
  <si>
    <t>4.14201</t>
  </si>
  <si>
    <t>Intake/Uptake Eng Rm No 2</t>
  </si>
  <si>
    <t>1-268-2-Q</t>
  </si>
  <si>
    <t>Intake/Uptake Eng Rm No 1</t>
  </si>
  <si>
    <t>1-174-3-Q</t>
  </si>
  <si>
    <t>01-174-0-Q</t>
  </si>
  <si>
    <t>Intake Trunk (B) Eng Rm No 2</t>
  </si>
  <si>
    <t>1-289-4-Q</t>
  </si>
  <si>
    <t>Intake Trunk (B) Eng Rm No 1</t>
  </si>
  <si>
    <t>1-174-1-Q</t>
  </si>
  <si>
    <t>Intake Trunk (A) Eng Rm No 2</t>
  </si>
  <si>
    <t>1-289-2-Q</t>
  </si>
  <si>
    <t>Intake Trunk (A) Eng Rm No 1</t>
  </si>
  <si>
    <t>1-174-5-Q</t>
  </si>
  <si>
    <t>Intake Eng Rm No 2</t>
  </si>
  <si>
    <t>01-276-0-Q</t>
  </si>
  <si>
    <t>02-284-0-Q</t>
  </si>
  <si>
    <t>02-275-0-Q</t>
  </si>
  <si>
    <t>03-274-0-Q</t>
  </si>
  <si>
    <t>Intake Eng Rm No 1 (S)</t>
  </si>
  <si>
    <t>02-174-1-Q</t>
  </si>
  <si>
    <t>Intake Eng Rm No 1 (P)</t>
  </si>
  <si>
    <t>02-174-0-Q</t>
  </si>
  <si>
    <t>4.14100981</t>
  </si>
  <si>
    <t>Eng Rm No 2</t>
  </si>
  <si>
    <t>4-254-0-E</t>
  </si>
  <si>
    <t>Eng Rm No 1</t>
  </si>
  <si>
    <t>4-174-0-E</t>
  </si>
  <si>
    <t xml:space="preserve">     Group 4.1: Propulasion Machinery</t>
  </si>
  <si>
    <t>GROUP 4: SHIP MACHINERY</t>
  </si>
  <si>
    <t>Group 3 Total</t>
  </si>
  <si>
    <t>3.96001</t>
  </si>
  <si>
    <t>Cofferdam</t>
  </si>
  <si>
    <t>5-254-4-V</t>
  </si>
  <si>
    <t>5-204-1-V</t>
  </si>
  <si>
    <t>3.95002</t>
  </si>
  <si>
    <t>Void (Inaccessible)</t>
  </si>
  <si>
    <t>7-042-0-V</t>
  </si>
  <si>
    <t>Blw BL</t>
  </si>
  <si>
    <t>7-031-0-V</t>
  </si>
  <si>
    <t>7-010-0-V</t>
  </si>
  <si>
    <t>7-004-0-V</t>
  </si>
  <si>
    <t>5-001-0-V</t>
  </si>
  <si>
    <t>4-U-0-W</t>
  </si>
  <si>
    <t>3.95001</t>
  </si>
  <si>
    <t>0.5-MM-0-V</t>
  </si>
  <si>
    <t>0.5 Lvl</t>
  </si>
  <si>
    <t>Void</t>
  </si>
  <si>
    <t>6-031-0-V</t>
  </si>
  <si>
    <t>5-034-0-V</t>
  </si>
  <si>
    <t>4-270-2-V</t>
  </si>
  <si>
    <t>3-078-0-V</t>
  </si>
  <si>
    <t>2-220-5-V</t>
  </si>
  <si>
    <t>01-115-2-V</t>
  </si>
  <si>
    <t>3.94203</t>
  </si>
  <si>
    <t>Waste Wtr Drain Cltg Tank</t>
  </si>
  <si>
    <t>5-292-2-W</t>
  </si>
  <si>
    <t>5-212-2-W</t>
  </si>
  <si>
    <t>Oily Wtr Drain Cltg Tank</t>
  </si>
  <si>
    <t>5-296-1-F</t>
  </si>
  <si>
    <t>Oily Waste Drain Cltg Tank</t>
  </si>
  <si>
    <t>5-174-2-F</t>
  </si>
  <si>
    <t>GTRB Waste Drain Cltg Tank</t>
  </si>
  <si>
    <t>5-292-1-F</t>
  </si>
  <si>
    <t>5-177-1-F</t>
  </si>
  <si>
    <t>4-370-2-F</t>
  </si>
  <si>
    <t>3.94202</t>
  </si>
  <si>
    <t>Waste Oil Tank</t>
  </si>
  <si>
    <t>5-220-1-F</t>
  </si>
  <si>
    <t>3.94201</t>
  </si>
  <si>
    <t>Oily Waste Holding Tank</t>
  </si>
  <si>
    <t>5-220-2-F</t>
  </si>
  <si>
    <t>3.94103</t>
  </si>
  <si>
    <t>VCHT Rm No 2</t>
  </si>
  <si>
    <t>4-300-0-E</t>
  </si>
  <si>
    <t>VCHT Rm No 1</t>
  </si>
  <si>
    <t>4-110-0-E</t>
  </si>
  <si>
    <t>3.93001</t>
  </si>
  <si>
    <t>Potable Water Tank</t>
  </si>
  <si>
    <t>4-150-2-W</t>
  </si>
  <si>
    <t>4-150-1-W</t>
  </si>
  <si>
    <t>4-126-2-W</t>
  </si>
  <si>
    <t>4-126-1-W</t>
  </si>
  <si>
    <t>3.92008</t>
  </si>
  <si>
    <t>Fore Peak Tank</t>
  </si>
  <si>
    <t>4-P-0-W</t>
  </si>
  <si>
    <t>3.91303</t>
  </si>
  <si>
    <t>Lub Oil Sump Tank</t>
  </si>
  <si>
    <t>5-254-6-F</t>
  </si>
  <si>
    <t>5-206-1-F</t>
  </si>
  <si>
    <t>3.91302</t>
  </si>
  <si>
    <t>Lub Oil Settling Tank</t>
  </si>
  <si>
    <t>3-263-2-F</t>
  </si>
  <si>
    <t>3-254-2-F</t>
  </si>
  <si>
    <t>3-212-1-F</t>
  </si>
  <si>
    <t>3-204-1-F</t>
  </si>
  <si>
    <t>3.91301</t>
  </si>
  <si>
    <t>Lub Oil Storage Tank</t>
  </si>
  <si>
    <t>3-291-2-F</t>
  </si>
  <si>
    <t>3-286-2-F</t>
  </si>
  <si>
    <t>3-281-2-F</t>
  </si>
  <si>
    <t>3-272-2-F</t>
  </si>
  <si>
    <t>3-195-1-F</t>
  </si>
  <si>
    <t>3-190-1-F</t>
  </si>
  <si>
    <t>3-185-1-F</t>
  </si>
  <si>
    <t>3-174-1-F</t>
  </si>
  <si>
    <t>3.91216</t>
  </si>
  <si>
    <t>GTRB Fuel Gravity Feed Tank</t>
  </si>
  <si>
    <t>2-174-2-F</t>
  </si>
  <si>
    <t>3.91201</t>
  </si>
  <si>
    <t>SS GTRB Fuel Tank</t>
  </si>
  <si>
    <t>1-374-1-F</t>
  </si>
  <si>
    <t>JP-5 Service Tank</t>
  </si>
  <si>
    <t>4-390-0-J</t>
  </si>
  <si>
    <t>4-386-0-J</t>
  </si>
  <si>
    <t>3.91116</t>
  </si>
  <si>
    <t>2-298-1-F</t>
  </si>
  <si>
    <t>3.91113</t>
  </si>
  <si>
    <t>Fuel Expansion Sea Wtr Ovfl Tk Group 6</t>
  </si>
  <si>
    <t>4-370-4-F</t>
  </si>
  <si>
    <t>Fuel Expansion Sea Wtr Ovfl Tk Group 5</t>
  </si>
  <si>
    <t>4-370-3-F</t>
  </si>
  <si>
    <t>Fuel Expansion Sea Wtr Ovfl Tank Group 4</t>
  </si>
  <si>
    <t>5-254-2-F</t>
  </si>
  <si>
    <t>Fuel Expansion Sea Wtr Ovfl Tank Group 3</t>
  </si>
  <si>
    <t>5-254-1-F</t>
  </si>
  <si>
    <t>Fuel Expansion Sea Wtr Ovfl Tank Group 2</t>
  </si>
  <si>
    <t>5-212-4-F</t>
  </si>
  <si>
    <t>Fuel Expansion Sea Wtr Ovfl Tank Group 1</t>
  </si>
  <si>
    <t>5-214-1-F</t>
  </si>
  <si>
    <t>3.91101</t>
  </si>
  <si>
    <t>JP-5 Tank</t>
  </si>
  <si>
    <t>4-402-0-J</t>
  </si>
  <si>
    <t>4-394-0-J</t>
  </si>
  <si>
    <t>Fuel Tank Group 6</t>
  </si>
  <si>
    <t>5-370-0-F</t>
  </si>
  <si>
    <t>Fuel Tank Group 5</t>
  </si>
  <si>
    <t>5-354-0-F</t>
  </si>
  <si>
    <t>Fuel Tank Group 4</t>
  </si>
  <si>
    <t>5-300-2-F</t>
  </si>
  <si>
    <t>5-264-2-F</t>
  </si>
  <si>
    <t>4-272-2-F</t>
  </si>
  <si>
    <t>Fuel Tank Group 3</t>
  </si>
  <si>
    <t>5-300-1-F</t>
  </si>
  <si>
    <t>5-254-3-F</t>
  </si>
  <si>
    <t>5-220-3-F</t>
  </si>
  <si>
    <t>Fuel Tank Group 2</t>
  </si>
  <si>
    <t>5-174-4-F</t>
  </si>
  <si>
    <t>5-126-2-F</t>
  </si>
  <si>
    <t>5-078-2-F</t>
  </si>
  <si>
    <t>Fuel Tank Group 1</t>
  </si>
  <si>
    <t>5-174-1-F</t>
  </si>
  <si>
    <t>5-126-1-F</t>
  </si>
  <si>
    <t>5-078-1-F</t>
  </si>
  <si>
    <t>5-042-0-F</t>
  </si>
  <si>
    <t>Fuel Service Tank</t>
  </si>
  <si>
    <t>5-300-4-F</t>
  </si>
  <si>
    <t>4-300-1-F</t>
  </si>
  <si>
    <t>4-220-4-F</t>
  </si>
  <si>
    <t>4-220-1-F</t>
  </si>
  <si>
    <t>Fuel Receiving Tank Group 6</t>
  </si>
  <si>
    <t>5-338-2-F</t>
  </si>
  <si>
    <t>Fuel Receiving Tank Group 5</t>
  </si>
  <si>
    <t>5-338-1-F</t>
  </si>
  <si>
    <t>Fuel Receiving Tank Group 4</t>
  </si>
  <si>
    <t>5-220-4-F</t>
  </si>
  <si>
    <t>Fuel Receiving Tank Group 3</t>
  </si>
  <si>
    <t>4-174-1-F</t>
  </si>
  <si>
    <t>Fuel Receiving Tank Group 2</t>
  </si>
  <si>
    <t>4-078-2-F</t>
  </si>
  <si>
    <t>Fuel Receiving Tank Group 1</t>
  </si>
  <si>
    <t>4-078-1-F</t>
  </si>
  <si>
    <t xml:space="preserve">     Group 3.9: Tanks</t>
  </si>
  <si>
    <t>3.82201</t>
  </si>
  <si>
    <t>Escape Trunk</t>
  </si>
  <si>
    <t>4-296-1-T</t>
  </si>
  <si>
    <t>4-250-2-T</t>
  </si>
  <si>
    <t>4-220-2-T</t>
  </si>
  <si>
    <t>4-122-2-T</t>
  </si>
  <si>
    <t>2-334-2-T</t>
  </si>
  <si>
    <t>2-322-1-T</t>
  </si>
  <si>
    <t>3.82103</t>
  </si>
  <si>
    <t>Access Trunk (AC Mchry Rm)</t>
  </si>
  <si>
    <t>3-322-1-T</t>
  </si>
  <si>
    <t>Access Trunk</t>
  </si>
  <si>
    <t>3-326-1-T</t>
  </si>
  <si>
    <t>3-308-2-T</t>
  </si>
  <si>
    <t>3-220-1-T</t>
  </si>
  <si>
    <t>3-220-0-T</t>
  </si>
  <si>
    <t>3-164-4-T</t>
  </si>
  <si>
    <t>3-158-3-T</t>
  </si>
  <si>
    <t>3-116-1-T</t>
  </si>
  <si>
    <t>3-115-4-T</t>
  </si>
  <si>
    <t>3-097-2-T</t>
  </si>
  <si>
    <t>3-042-1-T</t>
  </si>
  <si>
    <t>3-039-1-T</t>
  </si>
  <si>
    <t>2-442-4-T</t>
  </si>
  <si>
    <t>2-328-1-T</t>
  </si>
  <si>
    <t>2-305-2-T</t>
  </si>
  <si>
    <t>2-242-4-T</t>
  </si>
  <si>
    <t>2-183-2-T</t>
  </si>
  <si>
    <t>2-116-2-T</t>
  </si>
  <si>
    <t>1-338-4-T</t>
  </si>
  <si>
    <t>1-338-1-T</t>
  </si>
  <si>
    <t>1-335-2-T</t>
  </si>
  <si>
    <t>1-284-1-T</t>
  </si>
  <si>
    <t>01-294-0-T</t>
  </si>
  <si>
    <t>3.82101</t>
  </si>
  <si>
    <t>Passage</t>
  </si>
  <si>
    <t>4-418-1-L</t>
  </si>
  <si>
    <t>4-110-1-L</t>
  </si>
  <si>
    <t>4-022-0-L</t>
  </si>
  <si>
    <t>3-342-0-L</t>
  </si>
  <si>
    <t>3-338-6-L</t>
  </si>
  <si>
    <t>2-442-2-L</t>
  </si>
  <si>
    <t>2-442-1-L</t>
  </si>
  <si>
    <t>2-410-0-L</t>
  </si>
  <si>
    <t>2-370-4-L</t>
  </si>
  <si>
    <t>2-370-3-L</t>
  </si>
  <si>
    <t>2-338-2-L</t>
  </si>
  <si>
    <t>2-338-1-L</t>
  </si>
  <si>
    <t>2-046-0-L</t>
  </si>
  <si>
    <t>1-377-0-L</t>
  </si>
  <si>
    <t>1-300-01-L</t>
  </si>
  <si>
    <t>1-254-6-L</t>
  </si>
  <si>
    <t>1-254-5-L</t>
  </si>
  <si>
    <t>1-220-5-L</t>
  </si>
  <si>
    <t>1-220-2-L</t>
  </si>
  <si>
    <t>1-174-01-L</t>
  </si>
  <si>
    <t>1-158-6-L</t>
  </si>
  <si>
    <t>1-158-1-L</t>
  </si>
  <si>
    <t>1-126-4-L</t>
  </si>
  <si>
    <t>1-126-3-L</t>
  </si>
  <si>
    <t>1-078-01-L</t>
  </si>
  <si>
    <t>1-042-01-L</t>
  </si>
  <si>
    <t>01-377-0-L</t>
  </si>
  <si>
    <t>01-309-2-L</t>
  </si>
  <si>
    <t>01-276-01-L</t>
  </si>
  <si>
    <t>01-220-0-L</t>
  </si>
  <si>
    <t>01-174-4-L</t>
  </si>
  <si>
    <t>01-163-2-L</t>
  </si>
  <si>
    <t>01-158-1-L</t>
  </si>
  <si>
    <t>01-122-0-L</t>
  </si>
  <si>
    <t>01-118-4-L</t>
  </si>
  <si>
    <t>01-118-2-L</t>
  </si>
  <si>
    <t>01-118-1-L</t>
  </si>
  <si>
    <t>01-110-1-L</t>
  </si>
  <si>
    <t>02-167-2-L</t>
  </si>
  <si>
    <t>02-166-5-L</t>
  </si>
  <si>
    <t>02-160-2-L</t>
  </si>
  <si>
    <t>02-160-1-L</t>
  </si>
  <si>
    <t>02-154-2-L</t>
  </si>
  <si>
    <t>02-154-1-L</t>
  </si>
  <si>
    <t>02-139-1-L</t>
  </si>
  <si>
    <t>03-158-1-L</t>
  </si>
  <si>
    <t>03-154-2-L</t>
  </si>
  <si>
    <t>03-154-1-L</t>
  </si>
  <si>
    <t>04-154-2-L</t>
  </si>
  <si>
    <t>3-097-1-T</t>
  </si>
  <si>
    <t>1-220-0-T</t>
  </si>
  <si>
    <t xml:space="preserve">     Group 3.8: Access</t>
  </si>
  <si>
    <t>3.78000998</t>
  </si>
  <si>
    <t>Cleaning Gear Lkr</t>
  </si>
  <si>
    <t>3-338-8-A</t>
  </si>
  <si>
    <t>3-338-5-A</t>
  </si>
  <si>
    <t>3-335-1-A</t>
  </si>
  <si>
    <t>3-306-2-A</t>
  </si>
  <si>
    <t>3-097-3-A</t>
  </si>
  <si>
    <t>2-344-1-A</t>
  </si>
  <si>
    <t>2-314-4-A</t>
  </si>
  <si>
    <t>2-102-1-A</t>
  </si>
  <si>
    <t>1-237-1-A</t>
  </si>
  <si>
    <t>1-115-2-A</t>
  </si>
  <si>
    <t>01-330-1-A</t>
  </si>
  <si>
    <t>02-158-5-A</t>
  </si>
  <si>
    <t>02-158-2-A</t>
  </si>
  <si>
    <t>02-158-1-A</t>
  </si>
  <si>
    <t>04-150-4-A</t>
  </si>
  <si>
    <t>CMAA Strm</t>
  </si>
  <si>
    <t>3-357-1-A</t>
  </si>
  <si>
    <t>3.75019</t>
  </si>
  <si>
    <t>Torpedo Strikedown Eqpt Strm</t>
  </si>
  <si>
    <t>02-242-2-A</t>
  </si>
  <si>
    <t>3.74019</t>
  </si>
  <si>
    <t>Anchor Handling Eqpt Strm</t>
  </si>
  <si>
    <t>0.5-W-0-A</t>
  </si>
  <si>
    <t>3.74018</t>
  </si>
  <si>
    <t>Security Force Issue Rm</t>
  </si>
  <si>
    <t>1-054-1-A</t>
  </si>
  <si>
    <t>3.74015</t>
  </si>
  <si>
    <t>Security Light Stwg</t>
  </si>
  <si>
    <t>01-110-2-A</t>
  </si>
  <si>
    <t>3.74007</t>
  </si>
  <si>
    <t>Bosn Wrkshp</t>
  </si>
  <si>
    <t>2-458-2-Q</t>
  </si>
  <si>
    <t>Boat Gear Lkr</t>
  </si>
  <si>
    <t>01-277-1-A</t>
  </si>
  <si>
    <t>3.74004</t>
  </si>
  <si>
    <t>Bosn Strm No 2</t>
  </si>
  <si>
    <t>4-410-2-A</t>
  </si>
  <si>
    <t>Bosn Strm No 1</t>
  </si>
  <si>
    <t>0.5-018-0-A</t>
  </si>
  <si>
    <t>3.74001002</t>
  </si>
  <si>
    <t>Deck Gear Lkr</t>
  </si>
  <si>
    <t>01-276-2-A</t>
  </si>
  <si>
    <t>01-268-1-A</t>
  </si>
  <si>
    <t>01-174-6-A</t>
  </si>
  <si>
    <t>01-174-1-A</t>
  </si>
  <si>
    <t>01 lvl</t>
  </si>
  <si>
    <t>02-370-1-A</t>
  </si>
  <si>
    <t>3.74001</t>
  </si>
  <si>
    <t>Topside Eqpt Lkr</t>
  </si>
  <si>
    <t>05-161-2-A</t>
  </si>
  <si>
    <t>05 Lvl</t>
  </si>
  <si>
    <t>3.72001004</t>
  </si>
  <si>
    <t>Engrs Strm No 2</t>
  </si>
  <si>
    <t>2-307-2-A</t>
  </si>
  <si>
    <t>3.71507</t>
  </si>
  <si>
    <t>Package Conveyor</t>
  </si>
  <si>
    <t>3-225-2-Q</t>
  </si>
  <si>
    <t>3.71502</t>
  </si>
  <si>
    <t>Stores Handling &amp; Landing Area</t>
  </si>
  <si>
    <t>2-228-0-L</t>
  </si>
  <si>
    <t>Mess Strm No 1</t>
  </si>
  <si>
    <t>1-254-3-A</t>
  </si>
  <si>
    <t>3.71310091</t>
  </si>
  <si>
    <t>Supply Dept Strm No 4</t>
  </si>
  <si>
    <t>4-370-6-A</t>
  </si>
  <si>
    <t>Supply Dept Strm No 3</t>
  </si>
  <si>
    <t>4-370-5-A</t>
  </si>
  <si>
    <t>Supply Dept Strm No 2</t>
  </si>
  <si>
    <t>3-346-1-A</t>
  </si>
  <si>
    <t>Supply Dept Strm No 1</t>
  </si>
  <si>
    <t>3-220-01-A</t>
  </si>
  <si>
    <t>3.71201</t>
  </si>
  <si>
    <t>Special Clothing Strm</t>
  </si>
  <si>
    <t>4-110-3-A</t>
  </si>
  <si>
    <t>3.711205</t>
  </si>
  <si>
    <t>Nitrogen Cylinder Strm</t>
  </si>
  <si>
    <t>2-422-1-A</t>
  </si>
  <si>
    <t>Gas Cylinder Strm</t>
  </si>
  <si>
    <t>0.5-042-1-Q</t>
  </si>
  <si>
    <t>3.71110296</t>
  </si>
  <si>
    <t>Flammable Liquids Issue Rm</t>
  </si>
  <si>
    <t>2-397-2-K</t>
  </si>
  <si>
    <t>3.71110106</t>
  </si>
  <si>
    <t>Flammable Liquid Strm No. 2</t>
  </si>
  <si>
    <t>3-414-0-K</t>
  </si>
  <si>
    <t>Flammable Liquid Strm No. 1</t>
  </si>
  <si>
    <t>3-410-0-K</t>
  </si>
  <si>
    <t>SD Issue Rm HAZMINCEN</t>
  </si>
  <si>
    <t>4-410-1-A</t>
  </si>
  <si>
    <t xml:space="preserve">     Group 3.7: Stowage</t>
  </si>
  <si>
    <t>3.61410</t>
  </si>
  <si>
    <t>Test Lab</t>
  </si>
  <si>
    <t>3-200-2-Q</t>
  </si>
  <si>
    <t>3.61301</t>
  </si>
  <si>
    <t>General Workshop</t>
  </si>
  <si>
    <t>2-200-2-Q</t>
  </si>
  <si>
    <t>3.61207</t>
  </si>
  <si>
    <t>Tool Issue Rm</t>
  </si>
  <si>
    <t>2-300-4-Q</t>
  </si>
  <si>
    <t>3.61201</t>
  </si>
  <si>
    <t>Electronic Wrkshp No 2</t>
  </si>
  <si>
    <t>01-174-2-Q</t>
  </si>
  <si>
    <t>Electrical Shop</t>
  </si>
  <si>
    <t>01-283-1-Q</t>
  </si>
  <si>
    <t>3.61101</t>
  </si>
  <si>
    <t>Filter Cleaning Shop</t>
  </si>
  <si>
    <t>01-188-2-Q</t>
  </si>
  <si>
    <t xml:space="preserve">     Group 3.6: Maintenance</t>
  </si>
  <si>
    <t>3.53006</t>
  </si>
  <si>
    <t>Replenishment Gear Lkr</t>
  </si>
  <si>
    <t>01-201-1-A</t>
  </si>
  <si>
    <t>3.51003</t>
  </si>
  <si>
    <t>Chain Lkr &amp; Sump</t>
  </si>
  <si>
    <t>3-012-0-W</t>
  </si>
  <si>
    <t>3.51002</t>
  </si>
  <si>
    <t>Chain Lkr</t>
  </si>
  <si>
    <t>3-006-2-Q</t>
  </si>
  <si>
    <t>3-006-1-Q</t>
  </si>
  <si>
    <t>3.51001</t>
  </si>
  <si>
    <t>Windlass Mchry Rm</t>
  </si>
  <si>
    <t>0.5-002-0-Q</t>
  </si>
  <si>
    <t xml:space="preserve">     Group 3.5: Deck Systems</t>
  </si>
  <si>
    <t>3.30604</t>
  </si>
  <si>
    <t>Registered Pubs Office</t>
  </si>
  <si>
    <t>1-110-3-Q</t>
  </si>
  <si>
    <t>3.30503</t>
  </si>
  <si>
    <t>OOD Sta No 3</t>
  </si>
  <si>
    <t>1-399-1-Q</t>
  </si>
  <si>
    <t>OOD Sta No 2</t>
  </si>
  <si>
    <t>01-220-2-Q</t>
  </si>
  <si>
    <t>OOD Sta No 1</t>
  </si>
  <si>
    <t>01-220-1-Q</t>
  </si>
  <si>
    <t>3.30404997</t>
  </si>
  <si>
    <t>SNAP II Computer Rm</t>
  </si>
  <si>
    <t>2-220-1-Q</t>
  </si>
  <si>
    <t>3.30403996</t>
  </si>
  <si>
    <t>Supply Support Center</t>
  </si>
  <si>
    <t>3-220-2-Q</t>
  </si>
  <si>
    <t>3.30402</t>
  </si>
  <si>
    <t>Supply Dept Office (Disbursing)</t>
  </si>
  <si>
    <t>1-084-1-Q</t>
  </si>
  <si>
    <t>Supply Dept Office</t>
  </si>
  <si>
    <t>1-254-0-Q</t>
  </si>
  <si>
    <t>3.30301001</t>
  </si>
  <si>
    <t>Engrg Dept Tech Lib</t>
  </si>
  <si>
    <t>0.5-050-1-Q</t>
  </si>
  <si>
    <t>Engrs Dept Office No 1</t>
  </si>
  <si>
    <t>2-174-6-A</t>
  </si>
  <si>
    <t>3.30301</t>
  </si>
  <si>
    <t>Engrg Dept Office No. 2</t>
  </si>
  <si>
    <t>1-258-3-Q</t>
  </si>
  <si>
    <t>Command Master Chief Office</t>
  </si>
  <si>
    <t>1-206-1-Q</t>
  </si>
  <si>
    <t>3.30204</t>
  </si>
  <si>
    <t>Food Service Office</t>
  </si>
  <si>
    <t>1-258-1-Q</t>
  </si>
  <si>
    <t>CMAA Office</t>
  </si>
  <si>
    <t>3-357-2-Q</t>
  </si>
  <si>
    <t>Ships Office</t>
  </si>
  <si>
    <t>1-078-4-Q</t>
  </si>
  <si>
    <t>3.3010012</t>
  </si>
  <si>
    <t>Operations Office</t>
  </si>
  <si>
    <t>1-163-1-Q</t>
  </si>
  <si>
    <t xml:space="preserve">     Group 3.3: Administration</t>
  </si>
  <si>
    <t>AFFF Sta No 2</t>
  </si>
  <si>
    <t>1-300-1-Q</t>
  </si>
  <si>
    <t>3.25101</t>
  </si>
  <si>
    <t>AFFF Sta No 1 &amp; Drum Stwg Rm</t>
  </si>
  <si>
    <t>1-070-1-A</t>
  </si>
  <si>
    <t>Water Mist Tank Rm No 2</t>
  </si>
  <si>
    <t>1-268-4-W</t>
  </si>
  <si>
    <t>Water Mist Tank Rm No 1</t>
  </si>
  <si>
    <t>3-078-2-W</t>
  </si>
  <si>
    <t>Water Mist Tank No 2</t>
  </si>
  <si>
    <t>1-274-2-W</t>
  </si>
  <si>
    <t>Water Mist Tank No 1</t>
  </si>
  <si>
    <t>3-078-4-W</t>
  </si>
  <si>
    <t>Water Mist Pumping Station No 2</t>
  </si>
  <si>
    <t>2-240-1-E</t>
  </si>
  <si>
    <t>Water Mist Pumping Station No 1</t>
  </si>
  <si>
    <t>4-042-0-E</t>
  </si>
  <si>
    <t>3.2207</t>
  </si>
  <si>
    <t>Repair 3</t>
  </si>
  <si>
    <t>2-410-2-A</t>
  </si>
  <si>
    <t>3.22022</t>
  </si>
  <si>
    <t>DC Eqpt Lkr</t>
  </si>
  <si>
    <t>1-330-0-A</t>
  </si>
  <si>
    <t>3.22019</t>
  </si>
  <si>
    <t>Helicopter Crash &amp; Rescue Lkr</t>
  </si>
  <si>
    <t>1-338-6-A</t>
  </si>
  <si>
    <t>3.22009</t>
  </si>
  <si>
    <t>Repair 5</t>
  </si>
  <si>
    <t>1-206-3-A</t>
  </si>
  <si>
    <t>3.22005</t>
  </si>
  <si>
    <t>Repair 2</t>
  </si>
  <si>
    <t>1-094-1-A</t>
  </si>
  <si>
    <t xml:space="preserve">     Group 3.2: Damage Control</t>
  </si>
  <si>
    <t>3.11001</t>
  </si>
  <si>
    <t>Steering Gear Rm</t>
  </si>
  <si>
    <t>4-442-0-E</t>
  </si>
  <si>
    <t xml:space="preserve">     Group 3.1: Ship Control</t>
  </si>
  <si>
    <t>GROUP 3: SHIP SUPPORT</t>
  </si>
  <si>
    <t>Group 2 Total</t>
  </si>
  <si>
    <t>2.63004</t>
  </si>
  <si>
    <t>Airlock, Type III</t>
  </si>
  <si>
    <t>1-250-1-L</t>
  </si>
  <si>
    <t>1-126-1-L</t>
  </si>
  <si>
    <t>03-162-1-L</t>
  </si>
  <si>
    <t>04-150-2-L</t>
  </si>
  <si>
    <t>2.63003</t>
  </si>
  <si>
    <t>Airlock, Type II</t>
  </si>
  <si>
    <t>3-231-1-L</t>
  </si>
  <si>
    <t>3-158-1-L</t>
  </si>
  <si>
    <t>2-370-1-L</t>
  </si>
  <si>
    <t>2-186-2-L</t>
  </si>
  <si>
    <t>1-338-2-L</t>
  </si>
  <si>
    <t>1-280-1-L</t>
  </si>
  <si>
    <t>2.63002</t>
  </si>
  <si>
    <t>Airlock, Type I</t>
  </si>
  <si>
    <t>01-178-2-L</t>
  </si>
  <si>
    <t>04-169-1-L</t>
  </si>
  <si>
    <t>2.63001</t>
  </si>
  <si>
    <t>Pressure Lock</t>
  </si>
  <si>
    <t>2-370-2-L</t>
  </si>
  <si>
    <t>1-331-1-L</t>
  </si>
  <si>
    <t>1-250-2-L</t>
  </si>
  <si>
    <t>1-126-2-L</t>
  </si>
  <si>
    <t>01-330-5-L</t>
  </si>
  <si>
    <t>01-308-1-L</t>
  </si>
  <si>
    <t>01-274-3-L</t>
  </si>
  <si>
    <t>01-126-1-L</t>
  </si>
  <si>
    <t>2.62001014</t>
  </si>
  <si>
    <t>Chem Warfare Dept Eqpt Strm No 1</t>
  </si>
  <si>
    <t>01-110-0-A</t>
  </si>
  <si>
    <t>2.62001</t>
  </si>
  <si>
    <t>CBR &amp; DC Strm</t>
  </si>
  <si>
    <t>4-426-0-A</t>
  </si>
  <si>
    <t>2.61009</t>
  </si>
  <si>
    <t>Decon Sta No 2 (Contam Purge Lock)</t>
  </si>
  <si>
    <t>1-318-1-L</t>
  </si>
  <si>
    <t>Decon Sta No 1 (Contam Purge Lock)</t>
  </si>
  <si>
    <t>01-114-2-L</t>
  </si>
  <si>
    <t>2.61008</t>
  </si>
  <si>
    <t>Decon Sta No 2 (SH Area)</t>
  </si>
  <si>
    <t>1-322-1-L</t>
  </si>
  <si>
    <t>Decon Sta No 1 (SH Area)</t>
  </si>
  <si>
    <t>01-114-4-L</t>
  </si>
  <si>
    <t>2.61007</t>
  </si>
  <si>
    <t>Decon Sta No 2 (Inner Clthg Undrsg Area)</t>
  </si>
  <si>
    <t>1-326-1-L</t>
  </si>
  <si>
    <t>Decon Sta No 1 (Inner Clthg Undrsg Area)</t>
  </si>
  <si>
    <t>01-113-2-L</t>
  </si>
  <si>
    <t>2.61006</t>
  </si>
  <si>
    <t>Decon Sta No 2 (Outer Clthg Undrsg Area)</t>
  </si>
  <si>
    <t>1-330-1-L</t>
  </si>
  <si>
    <t>2.61003</t>
  </si>
  <si>
    <t>Decon Sta No 1 (Outer Clthg Undrsg Area)</t>
  </si>
  <si>
    <t>01-120-2-L</t>
  </si>
  <si>
    <t xml:space="preserve">     Group 2.6: CBR Protection</t>
  </si>
  <si>
    <t>2.56001</t>
  </si>
  <si>
    <t>Linen Lkr</t>
  </si>
  <si>
    <t>02-166-3-A</t>
  </si>
  <si>
    <t>2.55001</t>
  </si>
  <si>
    <t>Foul Weather Gear Lkr</t>
  </si>
  <si>
    <t>04-154-4-A</t>
  </si>
  <si>
    <t>04-150-3-A</t>
  </si>
  <si>
    <t>2.52003002</t>
  </si>
  <si>
    <t>CO Strm</t>
  </si>
  <si>
    <t>02-166-1-A</t>
  </si>
  <si>
    <t>2.51003003</t>
  </si>
  <si>
    <t>Crew Baggage Rm No 2</t>
  </si>
  <si>
    <t>3-338-1-A</t>
  </si>
  <si>
    <t>Crew Baggage Rm No 1</t>
  </si>
  <si>
    <t>1-186-1-Q</t>
  </si>
  <si>
    <t>2.51002002</t>
  </si>
  <si>
    <t>CPO Baggage Rm</t>
  </si>
  <si>
    <t>3-078-1-A</t>
  </si>
  <si>
    <t>2.51001</t>
  </si>
  <si>
    <t>Officers Baggage Rm</t>
  </si>
  <si>
    <t>02-166-7-A</t>
  </si>
  <si>
    <t xml:space="preserve">     Group 2.5 : Personal Stowage</t>
  </si>
  <si>
    <t>2.46001</t>
  </si>
  <si>
    <t>Post Office</t>
  </si>
  <si>
    <t>1-254-4-Q</t>
  </si>
  <si>
    <t>2.44002</t>
  </si>
  <si>
    <t>Barber Shop</t>
  </si>
  <si>
    <t>3-346-2-Q</t>
  </si>
  <si>
    <t>2.42007</t>
  </si>
  <si>
    <t>Self Service Laundry</t>
  </si>
  <si>
    <t>2-431-1-Q</t>
  </si>
  <si>
    <t>2.42001</t>
  </si>
  <si>
    <t>Laundry</t>
  </si>
  <si>
    <t>2-414-0-Q</t>
  </si>
  <si>
    <t>2.41007</t>
  </si>
  <si>
    <t>Ship Store Strm (Canned Drnks)</t>
  </si>
  <si>
    <t>1-042-2-Q</t>
  </si>
  <si>
    <t>2.41006</t>
  </si>
  <si>
    <t>Ships Store Strm</t>
  </si>
  <si>
    <t>0.5-042-2-A</t>
  </si>
  <si>
    <t>Ships Store</t>
  </si>
  <si>
    <t>1-096-2-Q</t>
  </si>
  <si>
    <t xml:space="preserve">     Group 2.4: General Services</t>
  </si>
  <si>
    <t>2.34101</t>
  </si>
  <si>
    <t>Medical Strm No 2</t>
  </si>
  <si>
    <t>2-418-1-A</t>
  </si>
  <si>
    <t>Medical Strm No 1</t>
  </si>
  <si>
    <t>1-054-2-A</t>
  </si>
  <si>
    <t>Decon Sta Medical Lkr</t>
  </si>
  <si>
    <t>01-122-2-A</t>
  </si>
  <si>
    <t>2.33201003</t>
  </si>
  <si>
    <t>Fwd Battle Dressing Sta</t>
  </si>
  <si>
    <t>1-058-2-L</t>
  </si>
  <si>
    <t>Aft Battle Dressing Sta</t>
  </si>
  <si>
    <t>2-410-1-L</t>
  </si>
  <si>
    <t>2.31025004</t>
  </si>
  <si>
    <t>Ward Bath</t>
  </si>
  <si>
    <t>1-232-1-L</t>
  </si>
  <si>
    <t>2.31024</t>
  </si>
  <si>
    <t>Ward</t>
  </si>
  <si>
    <t>1-220-1-L</t>
  </si>
  <si>
    <t>2.31012</t>
  </si>
  <si>
    <t>Medical Treatment Rm</t>
  </si>
  <si>
    <t>1-220-3-L</t>
  </si>
  <si>
    <t xml:space="preserve">     Group 2.3: Medical</t>
  </si>
  <si>
    <t>01-294-1-A</t>
  </si>
  <si>
    <t>2.23301005</t>
  </si>
  <si>
    <t>Dry Provisions Strm</t>
  </si>
  <si>
    <t>2-220-2-A</t>
  </si>
  <si>
    <t>2.23203</t>
  </si>
  <si>
    <t>Freeze Strm</t>
  </si>
  <si>
    <t>2-220-3-A</t>
  </si>
  <si>
    <t>2.23100996</t>
  </si>
  <si>
    <t>Chill Strm</t>
  </si>
  <si>
    <t>2-238-1-A</t>
  </si>
  <si>
    <t>2.22403</t>
  </si>
  <si>
    <t>Scullery</t>
  </si>
  <si>
    <t>1-238-1-Q</t>
  </si>
  <si>
    <t>2.22203994</t>
  </si>
  <si>
    <t>Crew/CPO Galley</t>
  </si>
  <si>
    <t>1-191-0-Q</t>
  </si>
  <si>
    <t>2.22201991</t>
  </si>
  <si>
    <t>Wardroom Galley</t>
  </si>
  <si>
    <t>02-158-4-Q</t>
  </si>
  <si>
    <t xml:space="preserve">     Group 2.2: Commissary</t>
  </si>
  <si>
    <t>2.21305</t>
  </si>
  <si>
    <t>Crew Mess Rm</t>
  </si>
  <si>
    <t>1-220-01-L</t>
  </si>
  <si>
    <t>2.21200991</t>
  </si>
  <si>
    <t>CPO Messroom &amp; Lounge</t>
  </si>
  <si>
    <t>1-174-0-L</t>
  </si>
  <si>
    <t>2.2110199</t>
  </si>
  <si>
    <t>Wardroom Messroom &amp; Lounge</t>
  </si>
  <si>
    <t>02-126-4-L</t>
  </si>
  <si>
    <t>2.16001</t>
  </si>
  <si>
    <t>Crew Training &amp; Rec Rm</t>
  </si>
  <si>
    <t>01-319-2-L</t>
  </si>
  <si>
    <t>2.15302</t>
  </si>
  <si>
    <t>Athletic Gear Strm</t>
  </si>
  <si>
    <t>4-430-1-A</t>
  </si>
  <si>
    <t>Physical Fitness Rm</t>
  </si>
  <si>
    <t>2-300-1-L</t>
  </si>
  <si>
    <t>2.14004993</t>
  </si>
  <si>
    <t>Wardroom WR &amp; WC</t>
  </si>
  <si>
    <t>02-166-2-L</t>
  </si>
  <si>
    <t>2.14001989</t>
  </si>
  <si>
    <t>Bridge WR &amp; WC</t>
  </si>
  <si>
    <t>04-150-1-L</t>
  </si>
  <si>
    <t>Crew Library</t>
  </si>
  <si>
    <t>2-338-4-L</t>
  </si>
  <si>
    <t>Crew Rec Rm</t>
  </si>
  <si>
    <t>2-300-2-L</t>
  </si>
  <si>
    <t>2.132101</t>
  </si>
  <si>
    <t>Crew WR, WC &amp; SH (Female)</t>
  </si>
  <si>
    <t>3-338-7-L</t>
  </si>
  <si>
    <t>Crew WR, WC &amp; SH</t>
  </si>
  <si>
    <t>3-338-10-L</t>
  </si>
  <si>
    <t>3-325-1-L</t>
  </si>
  <si>
    <t>3-300-2-L</t>
  </si>
  <si>
    <t>3-097-01-L</t>
  </si>
  <si>
    <t>2-345-2-L</t>
  </si>
  <si>
    <t>2-328-0-L</t>
  </si>
  <si>
    <t>2-314-2-L</t>
  </si>
  <si>
    <t>2-097-01-L</t>
  </si>
  <si>
    <t>2.13110209</t>
  </si>
  <si>
    <t>Crew Living Sp No 7</t>
  </si>
  <si>
    <t>3-350-2-L</t>
  </si>
  <si>
    <t>Crew Living Sp No 6</t>
  </si>
  <si>
    <t>3-338-3-L</t>
  </si>
  <si>
    <t>Crew Living Sp No 5</t>
  </si>
  <si>
    <t>3-310-2-L</t>
  </si>
  <si>
    <t>Crew Living Sp No 4</t>
  </si>
  <si>
    <t>3-300-1-L</t>
  </si>
  <si>
    <t>Crew Living Sp No 3B</t>
  </si>
  <si>
    <t>2-350-2-L</t>
  </si>
  <si>
    <t>Crew Living Sp No 3A</t>
  </si>
  <si>
    <t>2-300-3-L</t>
  </si>
  <si>
    <t>Crew Living Sp No 3</t>
  </si>
  <si>
    <t>2-310-2-L</t>
  </si>
  <si>
    <t>Crew Living Sp No 2</t>
  </si>
  <si>
    <t>3-097-02-L</t>
  </si>
  <si>
    <t>Crew Living Sp No 1</t>
  </si>
  <si>
    <t>2-078-01-L</t>
  </si>
  <si>
    <t>CPO WR, WC &amp; SH</t>
  </si>
  <si>
    <t>2-338-3-L</t>
  </si>
  <si>
    <t>2.12210107</t>
  </si>
  <si>
    <t>CPO WR, WC &amp; SH (Female)</t>
  </si>
  <si>
    <t>1-120-1-L</t>
  </si>
  <si>
    <t>1-110-2-L</t>
  </si>
  <si>
    <t>2.12110209</t>
  </si>
  <si>
    <t>CPO Living Sp No 2</t>
  </si>
  <si>
    <t>2-347-1-L</t>
  </si>
  <si>
    <t>CPO Living Sp No 1B</t>
  </si>
  <si>
    <t>1-115-1-L</t>
  </si>
  <si>
    <t>CPO Living Sp No 1A</t>
  </si>
  <si>
    <t>1-110-1-L</t>
  </si>
  <si>
    <t>CPO Living Sp No 1</t>
  </si>
  <si>
    <t>1-110-0-L</t>
  </si>
  <si>
    <t>Officer SH (Female)</t>
  </si>
  <si>
    <t>02-126-2-L</t>
  </si>
  <si>
    <t>Officer WC (Female)</t>
  </si>
  <si>
    <t>02-126-1-L</t>
  </si>
  <si>
    <t>2.11213</t>
  </si>
  <si>
    <t>Officer WR, WC &amp; SH</t>
  </si>
  <si>
    <t>01-330-3-L</t>
  </si>
  <si>
    <t>02-158-3-L</t>
  </si>
  <si>
    <t>Officer WC &amp; SH</t>
  </si>
  <si>
    <t>01-312-1-L</t>
  </si>
  <si>
    <t>2.11212015</t>
  </si>
  <si>
    <t>XO Bath</t>
  </si>
  <si>
    <t>01-158-2-L</t>
  </si>
  <si>
    <t>2.1121102</t>
  </si>
  <si>
    <t>CO Sea Cabin Bath</t>
  </si>
  <si>
    <t>04-158-1-L</t>
  </si>
  <si>
    <t>2.11211014</t>
  </si>
  <si>
    <t>CO Bath</t>
  </si>
  <si>
    <t>02-126-3-L</t>
  </si>
  <si>
    <t>2.11112060</t>
  </si>
  <si>
    <t>XO Stateroom</t>
  </si>
  <si>
    <t>01-158-4-L</t>
  </si>
  <si>
    <t>2.11111045</t>
  </si>
  <si>
    <t>CO Stateroom</t>
  </si>
  <si>
    <t>02-136-3-L</t>
  </si>
  <si>
    <t>2.11111021</t>
  </si>
  <si>
    <t>CO Cabin</t>
  </si>
  <si>
    <t>02-146-1-L</t>
  </si>
  <si>
    <t>2.1111102</t>
  </si>
  <si>
    <t>CO Sea Cabin</t>
  </si>
  <si>
    <t>04-158-2-L</t>
  </si>
  <si>
    <t>2.11100006</t>
  </si>
  <si>
    <t>Stateroom (Female)</t>
  </si>
  <si>
    <t>02-126-01-L</t>
  </si>
  <si>
    <t>Stateroom</t>
  </si>
  <si>
    <t>01-327-1-L</t>
  </si>
  <si>
    <t>01-314-3-L</t>
  </si>
  <si>
    <t>01-314-2-L</t>
  </si>
  <si>
    <t>01-314-1-L</t>
  </si>
  <si>
    <t>01-300-4-L</t>
  </si>
  <si>
    <t>01-298-1-L</t>
  </si>
  <si>
    <t>02-158-7-L</t>
  </si>
  <si>
    <t>02-145-2-L</t>
  </si>
  <si>
    <t>02-145-1-L</t>
  </si>
  <si>
    <t>02-136-2-L</t>
  </si>
  <si>
    <t>02-136-1-L</t>
  </si>
  <si>
    <t xml:space="preserve">     Group 2.1 Living</t>
  </si>
  <si>
    <t>GROUP 2: HUMAN SUPPORT</t>
  </si>
  <si>
    <t>Group 1: Total</t>
  </si>
  <si>
    <t>1.94001</t>
  </si>
  <si>
    <t>Armory</t>
  </si>
  <si>
    <t>2-370-5-A</t>
  </si>
  <si>
    <t>1.92002</t>
  </si>
  <si>
    <t>Pyro Mag No 2</t>
  </si>
  <si>
    <t>1-342-1-M</t>
  </si>
  <si>
    <t>Pyro Mag No 1</t>
  </si>
  <si>
    <t>3-338-4-M</t>
  </si>
  <si>
    <t>1.91002</t>
  </si>
  <si>
    <t>Small Arms Mag</t>
  </si>
  <si>
    <t>3-338-2-M</t>
  </si>
  <si>
    <t xml:space="preserve">     Group 1.9: Small Arms, Pyrotechnics &amp; Saluting Battery</t>
  </si>
  <si>
    <t>1.56002</t>
  </si>
  <si>
    <t>Pallet Truck Stwg/Battery Charging Rm</t>
  </si>
  <si>
    <t>01-205-0-Q</t>
  </si>
  <si>
    <t xml:space="preserve">     Group 1.5: Cargo</t>
  </si>
  <si>
    <t>1.39402</t>
  </si>
  <si>
    <t>Avn Flt Gear Strm</t>
  </si>
  <si>
    <t>01-314-4-A</t>
  </si>
  <si>
    <t>1.391104</t>
  </si>
  <si>
    <t>Avn Strm No 4</t>
  </si>
  <si>
    <t>1-332-1-A</t>
  </si>
  <si>
    <t>Avn Strm No 3</t>
  </si>
  <si>
    <t>01-380-2-A</t>
  </si>
  <si>
    <t>Avn Strm No 2</t>
  </si>
  <si>
    <t>01-370-1-A</t>
  </si>
  <si>
    <t>Avn Strm No 1</t>
  </si>
  <si>
    <t>2-378-2-A</t>
  </si>
  <si>
    <t>1.381302</t>
  </si>
  <si>
    <t>JP-5 Storage Tank</t>
  </si>
  <si>
    <t>4-410-0-J</t>
  </si>
  <si>
    <t>1.381301</t>
  </si>
  <si>
    <t>JP-5 Drain Tank</t>
  </si>
  <si>
    <t>4-370-1-J</t>
  </si>
  <si>
    <t>1.381101</t>
  </si>
  <si>
    <t>Helicopter Fueling Station</t>
  </si>
  <si>
    <t>1-399-0-J</t>
  </si>
  <si>
    <t>1.37401</t>
  </si>
  <si>
    <t>Sonobuoy Strm</t>
  </si>
  <si>
    <t>2-370-6-A</t>
  </si>
  <si>
    <t>1.36908</t>
  </si>
  <si>
    <t>Avn Repair Shop</t>
  </si>
  <si>
    <t>1-381-0-Q</t>
  </si>
  <si>
    <t>1.35306</t>
  </si>
  <si>
    <t>Avn Office</t>
  </si>
  <si>
    <t>01-377-1-Q</t>
  </si>
  <si>
    <t>1.34001</t>
  </si>
  <si>
    <t>Hangar No 2</t>
  </si>
  <si>
    <t>1-338-8-Q</t>
  </si>
  <si>
    <t>Hangar No 1</t>
  </si>
  <si>
    <t>1-338-3-Q</t>
  </si>
  <si>
    <t>1.33106</t>
  </si>
  <si>
    <t>Cable Trunk</t>
  </si>
  <si>
    <t>5-002-0-Q</t>
  </si>
  <si>
    <t>1.321203</t>
  </si>
  <si>
    <t>Helicopter Control Sta</t>
  </si>
  <si>
    <t>01-389-1-C</t>
  </si>
  <si>
    <t>1.321116</t>
  </si>
  <si>
    <t>Visual Landing Aids Eqpt Rm No 2</t>
  </si>
  <si>
    <t>1-390-2-Q</t>
  </si>
  <si>
    <t>Visual Landing Aids Eqpt Rm No 1</t>
  </si>
  <si>
    <t>1-370-1-Q</t>
  </si>
  <si>
    <t>1.312301</t>
  </si>
  <si>
    <t>RAST Mchry Rm</t>
  </si>
  <si>
    <t>2-442-0-E</t>
  </si>
  <si>
    <t>1.3123</t>
  </si>
  <si>
    <t>RAST Control Sta</t>
  </si>
  <si>
    <t>2-442-3-C</t>
  </si>
  <si>
    <t xml:space="preserve">     Group 1.3: Aviation</t>
  </si>
  <si>
    <t>1.2805</t>
  </si>
  <si>
    <t>VLS Service Interface Rm (B-Size Module)</t>
  </si>
  <si>
    <t>01-330-0-Q</t>
  </si>
  <si>
    <t>1.24401</t>
  </si>
  <si>
    <t>Torpedo Missile &amp; Rocket Mag</t>
  </si>
  <si>
    <t>1-304-2-M</t>
  </si>
  <si>
    <t>1.23701</t>
  </si>
  <si>
    <t>VLS Security Sta (Missile)</t>
  </si>
  <si>
    <t>1-100-2-Q</t>
  </si>
  <si>
    <t>1.22701</t>
  </si>
  <si>
    <t>01-330-2-Q</t>
  </si>
  <si>
    <t>1.222303</t>
  </si>
  <si>
    <t>Director Eqpt Rm No 3</t>
  </si>
  <si>
    <t>03-282-0-Q</t>
  </si>
  <si>
    <t>Director Eqpt Rm No 2</t>
  </si>
  <si>
    <t>04-272-0-Q</t>
  </si>
  <si>
    <t>Director Eqpt Rm No 1</t>
  </si>
  <si>
    <t>05-131-0-Q</t>
  </si>
  <si>
    <t>1.2219202</t>
  </si>
  <si>
    <t>B-size Module 64 Cell VLS</t>
  </si>
  <si>
    <t>2-338-0-M</t>
  </si>
  <si>
    <t>1.2210802</t>
  </si>
  <si>
    <t>CIWS Control Rm No 1</t>
  </si>
  <si>
    <t>03-112-0-C</t>
  </si>
  <si>
    <t>1.22099999</t>
  </si>
  <si>
    <t>VLS Service Interface Rm (A-Size Module)</t>
  </si>
  <si>
    <t>1-097-2-Q</t>
  </si>
  <si>
    <t>1.22099996</t>
  </si>
  <si>
    <t>A-size Module 32 Cell VLS</t>
  </si>
  <si>
    <t>2.5-078-0-M</t>
  </si>
  <si>
    <t>1.21600997</t>
  </si>
  <si>
    <t>Wpns Wrkshp No 1</t>
  </si>
  <si>
    <t>02-112-0-Q</t>
  </si>
  <si>
    <t>Wpns &amp; Avn Ord Eqpt Wrkshp</t>
  </si>
  <si>
    <t>01-300-0-Q</t>
  </si>
  <si>
    <t>1.21409</t>
  </si>
  <si>
    <t>Fixed Gun Ammo &amp; Rocket Mag No 2</t>
  </si>
  <si>
    <t>2-426-2-M</t>
  </si>
  <si>
    <t>Fixed Gun Ammo &amp; Rocket Mag No 1</t>
  </si>
  <si>
    <t>1-318-2-M</t>
  </si>
  <si>
    <t>Wpns Mag No 2</t>
  </si>
  <si>
    <t>01-300-1-M</t>
  </si>
  <si>
    <t>1.2140803</t>
  </si>
  <si>
    <t>Wpns Mag No 1</t>
  </si>
  <si>
    <t>02-112-2-M</t>
  </si>
  <si>
    <t>Ammo Handling Trunk</t>
  </si>
  <si>
    <t>03-120-2-Q</t>
  </si>
  <si>
    <t>1.2140801</t>
  </si>
  <si>
    <t>CIWS Control Rm No 2</t>
  </si>
  <si>
    <t>02-299-0-C</t>
  </si>
  <si>
    <t>1.21403203</t>
  </si>
  <si>
    <t>White Phosphorous Projectile Mag</t>
  </si>
  <si>
    <t>3-042-2-M</t>
  </si>
  <si>
    <t>5" Propellant Mag No 2</t>
  </si>
  <si>
    <t>3-068-2-M</t>
  </si>
  <si>
    <t>5" Propellant Mag No 1</t>
  </si>
  <si>
    <t>3-068-1-M</t>
  </si>
  <si>
    <t>5" Ammo Mag</t>
  </si>
  <si>
    <t>3-042-0-M</t>
  </si>
  <si>
    <t>1.2130313</t>
  </si>
  <si>
    <t>Ammo Strikedown Trunk</t>
  </si>
  <si>
    <t>4-072-0-Q</t>
  </si>
  <si>
    <t>5" Loader Drum and Fan Room</t>
  </si>
  <si>
    <t>1-046-0-M</t>
  </si>
  <si>
    <t>1.21099997</t>
  </si>
  <si>
    <t>Antenna Access Room</t>
  </si>
  <si>
    <t>05-161-1-Q</t>
  </si>
  <si>
    <t xml:space="preserve">     Group 1.2: Weapons</t>
  </si>
  <si>
    <t>IC &amp; Gyro Rm No 2</t>
  </si>
  <si>
    <t>3-300-0-C</t>
  </si>
  <si>
    <t>IC &amp; Gyro Rm No 1</t>
  </si>
  <si>
    <t>4-094-0-C</t>
  </si>
  <si>
    <t>1.14403</t>
  </si>
  <si>
    <t>DLS Mag No 2</t>
  </si>
  <si>
    <t>02-194-1-M</t>
  </si>
  <si>
    <t>DLS Mag No 1</t>
  </si>
  <si>
    <t>02-186-2-M</t>
  </si>
  <si>
    <t>1.14301</t>
  </si>
  <si>
    <t>IRS Eductor Secondary Air Inlet Trunk</t>
  </si>
  <si>
    <t>01-378-2-Q</t>
  </si>
  <si>
    <t>1.1420199</t>
  </si>
  <si>
    <t>NIXIE Rm</t>
  </si>
  <si>
    <t>2-450-1-Q</t>
  </si>
  <si>
    <t>1.14102</t>
  </si>
  <si>
    <t>Ship Signal Exploitation Sp</t>
  </si>
  <si>
    <t>01-130-2-C</t>
  </si>
  <si>
    <t>Tomahawk Equipment Room</t>
  </si>
  <si>
    <t>2-154-2-C</t>
  </si>
  <si>
    <t>1.13403</t>
  </si>
  <si>
    <t>Combat Sys Eqpt Rm No 4</t>
  </si>
  <si>
    <t>03-142-1-Q</t>
  </si>
  <si>
    <t>Combat Sys Eqpt Rm No 3</t>
  </si>
  <si>
    <t>1-314-0-C</t>
  </si>
  <si>
    <t>1-300-0-C</t>
  </si>
  <si>
    <t>Combat Sys Eqpt Rm No 2</t>
  </si>
  <si>
    <t>2-126-2-C</t>
  </si>
  <si>
    <t>Combat Sys Eqpt Rm No 1</t>
  </si>
  <si>
    <t>2-053-1-C</t>
  </si>
  <si>
    <t>1.13202</t>
  </si>
  <si>
    <t>Chart Room</t>
  </si>
  <si>
    <t>04-150-0-C</t>
  </si>
  <si>
    <t>1.13200998</t>
  </si>
  <si>
    <t>Pilot House</t>
  </si>
  <si>
    <t>04-130-0-C</t>
  </si>
  <si>
    <t>1.13010001</t>
  </si>
  <si>
    <t>CIC</t>
  </si>
  <si>
    <t>1-126-0-C</t>
  </si>
  <si>
    <t>1.122501</t>
  </si>
  <si>
    <t>Bathythermograph Rm</t>
  </si>
  <si>
    <t>2-442-6-Q</t>
  </si>
  <si>
    <t>1.122201</t>
  </si>
  <si>
    <t>Fathometer Trunk</t>
  </si>
  <si>
    <t>5-102-1-T</t>
  </si>
  <si>
    <t>1.122113</t>
  </si>
  <si>
    <t>Dome Eqpt Rm</t>
  </si>
  <si>
    <t>0.5-028-0-Q</t>
  </si>
  <si>
    <t>1.122112</t>
  </si>
  <si>
    <t>Sonar Control Rm</t>
  </si>
  <si>
    <t>2-050-2-C</t>
  </si>
  <si>
    <t>1.122105</t>
  </si>
  <si>
    <t>Transducer Cyl</t>
  </si>
  <si>
    <t>6-010-0-Q</t>
  </si>
  <si>
    <t>Sonar Dome Access Trunk</t>
  </si>
  <si>
    <t>5-028-0-T</t>
  </si>
  <si>
    <t>1.122104</t>
  </si>
  <si>
    <t>Transducer Compt</t>
  </si>
  <si>
    <t>6-000-0-Q</t>
  </si>
  <si>
    <t>1.122101</t>
  </si>
  <si>
    <t>Sonar Eqpt Rm No 2</t>
  </si>
  <si>
    <t>2-018-0-Q</t>
  </si>
  <si>
    <t>Sonar Eqpt Rm No 1</t>
  </si>
  <si>
    <t>1-018-0-Q</t>
  </si>
  <si>
    <t>MFTA Eqpt Room</t>
  </si>
  <si>
    <t>2-458-0-L</t>
  </si>
  <si>
    <t>1.1221</t>
  </si>
  <si>
    <t>Sonar Control Admin Office</t>
  </si>
  <si>
    <t>2-042-1-Q</t>
  </si>
  <si>
    <t>AMDR-S Cooling Eqpt Rm</t>
  </si>
  <si>
    <t>3-097-4-Q</t>
  </si>
  <si>
    <t>1.1211107</t>
  </si>
  <si>
    <t>Array Rm No 4</t>
  </si>
  <si>
    <t>03-158-2-Q</t>
  </si>
  <si>
    <t>Array Rm No 3</t>
  </si>
  <si>
    <t>03-158-3-Q</t>
  </si>
  <si>
    <t>Array Rm No 2</t>
  </si>
  <si>
    <t>03-128-2-Q</t>
  </si>
  <si>
    <t>Array Rm No 1</t>
  </si>
  <si>
    <t>03-128-1-Q</t>
  </si>
  <si>
    <t>1.12111</t>
  </si>
  <si>
    <t>Radar Rm No 3</t>
  </si>
  <si>
    <t>01-274-1-C</t>
  </si>
  <si>
    <t>Radar Rm No 2</t>
  </si>
  <si>
    <t>03-142-0-C</t>
  </si>
  <si>
    <t>Radar Rm No 1</t>
  </si>
  <si>
    <t>03-128-0-C</t>
  </si>
  <si>
    <t>1.121101</t>
  </si>
  <si>
    <t>Sonar Eqpt Rm No 3</t>
  </si>
  <si>
    <t>3-018-0-Q</t>
  </si>
  <si>
    <t>1.11800003</t>
  </si>
  <si>
    <t>Technical Library Annex</t>
  </si>
  <si>
    <t>01-110-01-Q</t>
  </si>
  <si>
    <t>CB Sys Maint Control Tech Lib &amp; Repair 8</t>
  </si>
  <si>
    <t>01-130-0-Q</t>
  </si>
  <si>
    <t>1.11301</t>
  </si>
  <si>
    <t>Signal Shelter</t>
  </si>
  <si>
    <t>04-164-1-Q</t>
  </si>
  <si>
    <t>1.11101997</t>
  </si>
  <si>
    <t>Radio Xmtr Rm</t>
  </si>
  <si>
    <t>2-157-1-C</t>
  </si>
  <si>
    <t>1.11100996</t>
  </si>
  <si>
    <t>Comm Center</t>
  </si>
  <si>
    <t>2-126-1-C</t>
  </si>
  <si>
    <t xml:space="preserve">     'Group 1.1:Command, Control &amp; Surveillance</t>
  </si>
  <si>
    <t>GROUP 1: MILITARY MISSION</t>
  </si>
  <si>
    <t>Constr Zone</t>
  </si>
  <si>
    <t>Volume (cu ft)</t>
  </si>
  <si>
    <t>Area  (sq ft)</t>
  </si>
  <si>
    <t>Comp't Name</t>
  </si>
  <si>
    <t>Comp't No</t>
  </si>
  <si>
    <t>Level</t>
  </si>
  <si>
    <t>SIGNAL SHELTER</t>
  </si>
  <si>
    <t>DLS</t>
  </si>
  <si>
    <t>Volume</t>
  </si>
  <si>
    <t>L</t>
  </si>
  <si>
    <t>LBD/100</t>
  </si>
  <si>
    <t>Area</t>
  </si>
  <si>
    <t>Flight III</t>
  </si>
  <si>
    <t>LSC Blk 1</t>
  </si>
  <si>
    <t>LSC Future</t>
  </si>
  <si>
    <t xml:space="preserve">Flight III </t>
  </si>
  <si>
    <t>Raw Data</t>
  </si>
  <si>
    <t>LSC</t>
  </si>
  <si>
    <t>Blk 1</t>
  </si>
  <si>
    <t>Future</t>
  </si>
  <si>
    <t>DDG Flight IIA AREA / VOLUME REPORT - COMPARTMENTS</t>
  </si>
  <si>
    <t>COMPARTMENT NO.</t>
  </si>
  <si>
    <t>CONPARTMENT NAME</t>
  </si>
  <si>
    <t>DECK</t>
  </si>
  <si>
    <r>
      <t>DECK AREA FT</t>
    </r>
    <r>
      <rPr>
        <b/>
        <vertAlign val="superscript"/>
        <sz val="12"/>
        <rFont val="Arial"/>
        <family val="2"/>
      </rPr>
      <t>2</t>
    </r>
  </si>
  <si>
    <r>
      <t>VOLUME FT</t>
    </r>
    <r>
      <rPr>
        <b/>
        <vertAlign val="superscript"/>
        <sz val="12"/>
        <rFont val="Arial"/>
        <family val="2"/>
      </rPr>
      <t>3</t>
    </r>
  </si>
  <si>
    <r>
      <t>DECK AREA M</t>
    </r>
    <r>
      <rPr>
        <b/>
        <vertAlign val="superscript"/>
        <sz val="12"/>
        <rFont val="Arial"/>
        <family val="2"/>
      </rPr>
      <t>2</t>
    </r>
  </si>
  <si>
    <r>
      <t>VOLUME M</t>
    </r>
    <r>
      <rPr>
        <b/>
        <vertAlign val="superscript"/>
        <sz val="12"/>
        <rFont val="Arial"/>
        <family val="2"/>
      </rPr>
      <t>3</t>
    </r>
  </si>
  <si>
    <t>REV</t>
  </si>
  <si>
    <t>COMMENTS</t>
  </si>
  <si>
    <t>COMM CENTER</t>
  </si>
  <si>
    <t>A</t>
  </si>
  <si>
    <t>RADIO XMTR ROOM</t>
  </si>
  <si>
    <t>04</t>
  </si>
  <si>
    <t>TOPSIDE EQUIPMENT LOCKER</t>
  </si>
  <si>
    <t>05</t>
  </si>
  <si>
    <t>RADAR ROOM NO 1</t>
  </si>
  <si>
    <t>03</t>
  </si>
  <si>
    <t>ARRAY ROOM NO 1</t>
  </si>
  <si>
    <t>ARRAY ROOM NO 2</t>
  </si>
  <si>
    <t>RADAR ROOM NO 2</t>
  </si>
  <si>
    <t>ARRAY ROOM NO 4 AND ELECTRONIC WORKSHOP NO 1B</t>
  </si>
  <si>
    <t>G</t>
  </si>
  <si>
    <t>DDG 79-90 ONLY</t>
  </si>
  <si>
    <t>ARRAY ROOM NO 3</t>
  </si>
  <si>
    <t>RADAR ROOM NO. 3</t>
  </si>
  <si>
    <t>01</t>
  </si>
  <si>
    <t>0 1/2-28-0-Q</t>
  </si>
  <si>
    <t>DOME EQUIPMENT ROOM</t>
  </si>
  <si>
    <t>0 1/2</t>
  </si>
  <si>
    <t>1-18-0-Q</t>
  </si>
  <si>
    <t>SONAR EQPT ROOM NO. 1</t>
  </si>
  <si>
    <t>2-18-0-Q</t>
  </si>
  <si>
    <t>SONAR EQPT ROOM NO. 2</t>
  </si>
  <si>
    <t>2-42-1-Q</t>
  </si>
  <si>
    <t>SONAR CONTROL ADMIN OFFICE</t>
  </si>
  <si>
    <t>2-50-2-C</t>
  </si>
  <si>
    <t>SONAR CONTROL ROOM</t>
  </si>
  <si>
    <t>BATHYTHEROGRAPH ROOM</t>
  </si>
  <si>
    <t>3-18-0-Q</t>
  </si>
  <si>
    <t>SONAR EQPT RM NO. 3</t>
  </si>
  <si>
    <t>4-42-0-Q</t>
  </si>
  <si>
    <t>SONAR COOLING EQPT RM</t>
  </si>
  <si>
    <t>5-28-0-T</t>
  </si>
  <si>
    <t>SONAR DOME ACCESS TRUNK</t>
  </si>
  <si>
    <t>FATHOMETER TRUNK</t>
  </si>
  <si>
    <t>6-0-0-Q</t>
  </si>
  <si>
    <t>TRANSDUCER COMPARTMENT</t>
  </si>
  <si>
    <t>6-10-0-Q</t>
  </si>
  <si>
    <t>TRANSDUCER CYLINDER</t>
  </si>
  <si>
    <t>COMBAT SYS EQPT ROOM NO. 3</t>
  </si>
  <si>
    <t>2-53-1-C</t>
  </si>
  <si>
    <t>CBT SYS EQPT ROOM NO. 1</t>
  </si>
  <si>
    <t>CBT SYS EQ RM NO. 2/TMHK EQ RM</t>
  </si>
  <si>
    <t>SHIP SIGNAL EXPLOITATION SPACE</t>
  </si>
  <si>
    <t>NIXIE ROOM</t>
  </si>
  <si>
    <t>IC &amp; GYRO ROOM NO. 2</t>
  </si>
  <si>
    <t>4-94-0-C</t>
  </si>
  <si>
    <t>IC &amp; GYRO ROOM NO. 1</t>
  </si>
  <si>
    <t>WEAPONS STRIKEDOWN EQPT STRM</t>
  </si>
  <si>
    <t>CIWS CONTROL RM NO 1</t>
  </si>
  <si>
    <t>DDG 79-81 &amp; DDG 107AF</t>
  </si>
  <si>
    <t>CIWS CONTROL ROOM NO. 2</t>
  </si>
  <si>
    <t>02</t>
  </si>
  <si>
    <t>AMMO HANDLING TRUNK</t>
  </si>
  <si>
    <t>02-300-2-Q</t>
  </si>
  <si>
    <t>4-72-0-Q</t>
  </si>
  <si>
    <t>AMMO STRIKEDOWN TRUNK</t>
  </si>
  <si>
    <t>CIWS MAGAZINE NO. 1</t>
  </si>
  <si>
    <t>DDG 79-81 &amp; DDG 107 AF</t>
  </si>
  <si>
    <t>CIWS MAGAZINE NO. 2</t>
  </si>
  <si>
    <t>C</t>
  </si>
  <si>
    <t>DDG 79-81 ONLY</t>
  </si>
  <si>
    <t>1-46-0-M</t>
  </si>
  <si>
    <t>5"/54 CAL LOADER DRUM &amp; FAN ROOM</t>
  </si>
  <si>
    <t>F</t>
  </si>
  <si>
    <t>DDG 79 ONLY</t>
  </si>
  <si>
    <t>3-42-0-M</t>
  </si>
  <si>
    <t>5"/54 CAL PROJECTILE MAG</t>
  </si>
  <si>
    <t>3-42-2-M</t>
  </si>
  <si>
    <t>WHITE PHOSPHRS PROJECTILE MAG</t>
  </si>
  <si>
    <t>3-62-1-M</t>
  </si>
  <si>
    <t>5"/54 CAL POWER MAG NO. 1</t>
  </si>
  <si>
    <t>3-68-2-M</t>
  </si>
  <si>
    <t>5"/54 CAL POWER MAG NO. 2</t>
  </si>
  <si>
    <t>CIWS WORKSHOP NO. 1</t>
  </si>
  <si>
    <t>CIWS, WEAPONS AND AVIATION ORDANCE EQPT WORKSHOP</t>
  </si>
  <si>
    <t>B-SIZE MODULE 64 CELL VERTICAL LAUNCHING SYSTEM</t>
  </si>
  <si>
    <t>2.5-78-0-M</t>
  </si>
  <si>
    <t>A-SIZEMODULE 32 CELL VERTICAL LAUNCHING SYSTEM</t>
  </si>
  <si>
    <t>2-153-2-C</t>
  </si>
  <si>
    <t>TOMAHAWK EQUIPMENT ROOM</t>
  </si>
  <si>
    <t>DIRECTOR EQPT RM NO. 1</t>
  </si>
  <si>
    <t>DIRECTOR EQPT RM NO.  2</t>
  </si>
  <si>
    <t>DIRECTOR EQPT RM NO. 3</t>
  </si>
  <si>
    <t>SECURITY STATION</t>
  </si>
  <si>
    <t>VLS SERVICE INTERFACE ROOM</t>
  </si>
  <si>
    <t>1-97-2-Q</t>
  </si>
  <si>
    <t>SERVICE INTERFACE ROOM</t>
  </si>
  <si>
    <t>RAST MACHINERY</t>
  </si>
  <si>
    <t>RAST CONTROL STATION</t>
  </si>
  <si>
    <t>HANGAR NO. 1</t>
  </si>
  <si>
    <t>DDG 79-102</t>
  </si>
  <si>
    <t>HANGAR NO. 2</t>
  </si>
  <si>
    <t>AVIATION OFFICE</t>
  </si>
  <si>
    <t>AVIATION REPAIR SHOP</t>
  </si>
  <si>
    <t>TORPEDO MISSILE AND ROCKET MAG.</t>
  </si>
  <si>
    <t>FIXED GUN AMMUNITION ROCKET MAG. NO. 1</t>
  </si>
  <si>
    <t>PYRO MAG NO. 2</t>
  </si>
  <si>
    <t>SONOBUOY STOREROOM</t>
  </si>
  <si>
    <t>FIXED GUN AMMUNITION ROCKET MAG. NO. 2</t>
  </si>
  <si>
    <t>PYRO MAGAZINE NO. 1</t>
  </si>
  <si>
    <t>HELICOPTER FUELING STATION</t>
  </si>
  <si>
    <t>JP-5 DRAIN TANK</t>
  </si>
  <si>
    <t>JP-5 SERVICE TANK</t>
  </si>
  <si>
    <t>JP-5 TANK</t>
  </si>
  <si>
    <t>JP-5 STORAGE TANK</t>
  </si>
  <si>
    <t>AVIATION STOREROOM NO. 2</t>
  </si>
  <si>
    <t>DDG 79-87 ONLY</t>
  </si>
  <si>
    <t>AVIATION STOREROOM NO. 3</t>
  </si>
  <si>
    <t>AVIATION STOREROOM NO. 1</t>
  </si>
  <si>
    <t>AVIATION FLIGHT GEAR STOREROOM</t>
  </si>
  <si>
    <t>VLA LDG AIDS EQPT ROOM NO. 1</t>
  </si>
  <si>
    <t>VLA LDG AIDS EQPT ROOM NO. 2</t>
  </si>
  <si>
    <t>SMALL ARMS MAGAZINE</t>
  </si>
  <si>
    <t>1-54-1-A</t>
  </si>
  <si>
    <t>SECURITY FORCE ISSUE ROOM</t>
  </si>
  <si>
    <t>COMMANDING OFFICER SEA CABIN BATH</t>
  </si>
  <si>
    <t>COMMANDING OFFICER SEA CABIN</t>
  </si>
  <si>
    <t>STATEROOM</t>
  </si>
  <si>
    <t>01-300-6-L</t>
  </si>
  <si>
    <t>01-320-1-L</t>
  </si>
  <si>
    <t>DDG 79-90  ONLY</t>
  </si>
  <si>
    <t>2-358-2-L</t>
  </si>
  <si>
    <t>02-126-0-L</t>
  </si>
  <si>
    <t>OFFICER WR, WC AND SHOWER (FEMALE)</t>
  </si>
  <si>
    <t>OFFICER WR, WC AND SH</t>
  </si>
  <si>
    <t>01-338-1-L</t>
  </si>
  <si>
    <t>OFFICER WR, WC AND SHOWER</t>
  </si>
  <si>
    <t>2-350-4-L</t>
  </si>
  <si>
    <t>CPO LIVING SPACE NO. 1</t>
  </si>
  <si>
    <t>CPO LIVING SPACE NO. 1A</t>
  </si>
  <si>
    <t>CPO LIVING SPACE NO.1B</t>
  </si>
  <si>
    <t>CPO LIVING SPACE NO 2</t>
  </si>
  <si>
    <t>CPO WR, WC, &amp; SH</t>
  </si>
  <si>
    <t>CPO WR, WC, AND SHOWER (FEMALE)</t>
  </si>
  <si>
    <t>2-78-01-L</t>
  </si>
  <si>
    <t>CREW LIVING SPACE NO. 1</t>
  </si>
  <si>
    <t>2-300-01-L</t>
  </si>
  <si>
    <t>CREW LIVING SPACE NO. 3</t>
  </si>
  <si>
    <t>3-97-02-L</t>
  </si>
  <si>
    <t>CREW LIVING SPACE NO. 2</t>
  </si>
  <si>
    <t>CREW LIVING SPACE NO. 4</t>
  </si>
  <si>
    <t>CREW LIVING SPACE NO. 5</t>
  </si>
  <si>
    <t>CREW LIVING SPACE NO. 6</t>
  </si>
  <si>
    <t>CREW LIVING SPACE NO. 7</t>
  </si>
  <si>
    <t>2-97-01-L</t>
  </si>
  <si>
    <t>CREW WR, WC &amp; SH</t>
  </si>
  <si>
    <t>2-321-2-L</t>
  </si>
  <si>
    <t>CREW WR &amp; SH</t>
  </si>
  <si>
    <t>DDG 79-106</t>
  </si>
  <si>
    <t>2-326-0-L</t>
  </si>
  <si>
    <t>CREW WR &amp; WC</t>
  </si>
  <si>
    <t>3-97-01-L</t>
  </si>
  <si>
    <t>CREW WR WC AND SHOWER</t>
  </si>
  <si>
    <t>CREW BAGGAGE ROOM NO. 2</t>
  </si>
  <si>
    <t>CREW WR, WC AND SHOWER (FEMALE)</t>
  </si>
  <si>
    <t>CREW TRAINING AND RECREATION ROOM</t>
  </si>
  <si>
    <t>CREW LIBRARY</t>
  </si>
  <si>
    <t>BRIDGE WR &amp; WC</t>
  </si>
  <si>
    <t>WARDROOM WR &amp; WC</t>
  </si>
  <si>
    <t>2-460-0-L</t>
  </si>
  <si>
    <t>PHYSICAL FITNESS ROOM</t>
  </si>
  <si>
    <t>ATHLETIC GEAR STOREROOM</t>
  </si>
  <si>
    <t>WARDROOM, MESSROOM AND LOUNGE</t>
  </si>
  <si>
    <t>CPO MESS ROOM &amp; LOUNGE</t>
  </si>
  <si>
    <t>CREW MESS ROOM</t>
  </si>
  <si>
    <t>WARDROOM GALLEY</t>
  </si>
  <si>
    <t>CREW/CPO GALLEY</t>
  </si>
  <si>
    <t>CHILL STRM</t>
  </si>
  <si>
    <t>FREEZE STRM</t>
  </si>
  <si>
    <t>DRY PROVISIONS STRM</t>
  </si>
  <si>
    <t>1-58-2-L</t>
  </si>
  <si>
    <t>FWD BATTLE DRESSING STATION</t>
  </si>
  <si>
    <t>AFT BATTLE DRESSING STA</t>
  </si>
  <si>
    <t>1-54-2-A</t>
  </si>
  <si>
    <t>MEDICAL STOREROOM NO. 1</t>
  </si>
  <si>
    <t>MEIDCAL STRM NO. 2</t>
  </si>
  <si>
    <t>0 1/2-42-2-A</t>
  </si>
  <si>
    <t xml:space="preserve">SHIPS STORE STOREROOM </t>
  </si>
  <si>
    <t>1-42-2-Q</t>
  </si>
  <si>
    <t xml:space="preserve">DDG 79-85 </t>
  </si>
  <si>
    <t>OFFICERS BAGGAGE ROOM</t>
  </si>
  <si>
    <t>3-78-1-A</t>
  </si>
  <si>
    <t xml:space="preserve">CPO BAGGAGE ROOM </t>
  </si>
  <si>
    <t>3-78-2-A</t>
  </si>
  <si>
    <t>CREW BAGGAGE ROOM NO. 1</t>
  </si>
  <si>
    <t>CREW WR, WC &amp; SHOWER</t>
  </si>
  <si>
    <t>COMMANDING  OFFICER STOREROOM</t>
  </si>
  <si>
    <t>MESS STOREROOM NO. 1</t>
  </si>
  <si>
    <t>1-258-1-A</t>
  </si>
  <si>
    <t>MESS STOREROOM NO. 2</t>
  </si>
  <si>
    <t>DDG 79-85</t>
  </si>
  <si>
    <t>03-167-1-A</t>
  </si>
  <si>
    <t>03-167-2-A</t>
  </si>
  <si>
    <t>LINEN LOCKER</t>
  </si>
  <si>
    <t>01-334-1-A</t>
  </si>
  <si>
    <t>2-354-2-A</t>
  </si>
  <si>
    <t>DECONTN STA NO. 1 (INNER CLTHG UNDRSG AREA</t>
  </si>
  <si>
    <t>DECONTN STA NO. 1 (CONTAM PRG LOCK)</t>
  </si>
  <si>
    <t>DECONTN STA NO. 1 (SH AREA)</t>
  </si>
  <si>
    <t>DECONTN STATION NO. 1 (OUTER CLOTHING UNDRSG AREA)</t>
  </si>
  <si>
    <t>DECONTN STATION MEDICAL LOCKER</t>
  </si>
  <si>
    <t>DECON STATION NO. 2 (CONTN PURGE LOCK)</t>
  </si>
  <si>
    <t xml:space="preserve">DECON STATION NO. 2 (SHOWER AREA)  </t>
  </si>
  <si>
    <t>DECON STATION NO. 2 (INNER CLOTHING UNDRSG AREA)</t>
  </si>
  <si>
    <t>DECON STATION NO. 2 (OUTER CLOTHING REMOVAL)</t>
  </si>
  <si>
    <t>CHEM WARFARE DEPT EQPT STRM NO. 1</t>
  </si>
  <si>
    <t>CBR AND DC STOREROOM</t>
  </si>
  <si>
    <t>TYPE III AIRLOCK</t>
  </si>
  <si>
    <t>TYPE 1 AIRLOCK</t>
  </si>
  <si>
    <t>PRESURE LOCK</t>
  </si>
  <si>
    <t>01-317-1-L</t>
  </si>
  <si>
    <t>PRESSURE LOCK</t>
  </si>
  <si>
    <t>TYPE II AIRLOCK</t>
  </si>
  <si>
    <t>AIRLOCK TYPE II</t>
  </si>
  <si>
    <t>TYPE II AIR LOCK</t>
  </si>
  <si>
    <t>STEERING GEAR ROOM</t>
  </si>
  <si>
    <t>CTL CONT STA &amp; DC CENTRAL</t>
  </si>
  <si>
    <t>1-94-1-A</t>
  </si>
  <si>
    <t>REPAIR 2</t>
  </si>
  <si>
    <t>1-203-3-A</t>
  </si>
  <si>
    <t>REPAIR 5</t>
  </si>
  <si>
    <t>DC EQUIPMENT LOCKER</t>
  </si>
  <si>
    <t>HELICOPTER CRASH RESCUE LOCKER</t>
  </si>
  <si>
    <t>REPAIR 3</t>
  </si>
  <si>
    <t>1-70-1-A</t>
  </si>
  <si>
    <t>AFFF STA NO. 1 &amp; DRUM STWG ROOM</t>
  </si>
  <si>
    <t>AQ FILM FOAM STATION NO. 2</t>
  </si>
  <si>
    <t>1-186-1-A</t>
  </si>
  <si>
    <t>HALON CYLINDER ROOM NO. 1</t>
  </si>
  <si>
    <t>1-268-4-A</t>
  </si>
  <si>
    <t>HALON CYLINDER ROOM NO. 2</t>
  </si>
  <si>
    <t>1-78-4-Q</t>
  </si>
  <si>
    <t>SHIPS OFFICE</t>
  </si>
  <si>
    <t>1-84-1-Q</t>
  </si>
  <si>
    <t>OPERATION OFFICE</t>
  </si>
  <si>
    <t>01-330-4-A</t>
  </si>
  <si>
    <t>CMMA STOREROOM</t>
  </si>
  <si>
    <t>2-422-1-Q</t>
  </si>
  <si>
    <t>CHIEF MASTER AT ARMS OFFICE</t>
  </si>
  <si>
    <t>0 1/2-50-1-Q</t>
  </si>
  <si>
    <t>ENGINEERING DEPT TECHNICAL LIBRARY</t>
  </si>
  <si>
    <t>ENGRG DEPT OFFICE</t>
  </si>
  <si>
    <t>1-96-2-Q</t>
  </si>
  <si>
    <t>SUPPLY DEPT OFFICE (DISBURSING)</t>
  </si>
  <si>
    <t>FOOD SERVICE OFFICE</t>
  </si>
  <si>
    <t xml:space="preserve">SUPPLY DEPT OFFICE </t>
  </si>
  <si>
    <t>SNAP II COMPUTER ROOM</t>
  </si>
  <si>
    <t>SUPPLY SUPPORT CENTER</t>
  </si>
  <si>
    <t>OFFICER OF THE DECK STA NO. 1</t>
  </si>
  <si>
    <t>OFFICER OF THE DECK STATION NO. 2</t>
  </si>
  <si>
    <t>1-332-1-Q</t>
  </si>
  <si>
    <t>OFFICER OF THE DECK STATION NO. 3</t>
  </si>
  <si>
    <t>1-158-6-Q</t>
  </si>
  <si>
    <t>CLASSIFIED DOC DEST RM</t>
  </si>
  <si>
    <t>TECHNICAL LIBRARY ANNEX</t>
  </si>
  <si>
    <t>CB SYS MAINTCTL TECH LBRY &amp; RPR 8</t>
  </si>
  <si>
    <t>COMBAT SYSTEMS OFFICE</t>
  </si>
  <si>
    <t>0 1/2-2-0-Q</t>
  </si>
  <si>
    <t>WINDLASS MACHINERY ROOM</t>
  </si>
  <si>
    <t>3- 6-1-Q</t>
  </si>
  <si>
    <t>CHAIN LOCKER</t>
  </si>
  <si>
    <t>3- 6-2-Q</t>
  </si>
  <si>
    <t>3-12-0-W</t>
  </si>
  <si>
    <t>CHAIN LOCKER &amp; SUMP</t>
  </si>
  <si>
    <t xml:space="preserve">RPNSM GEAR LOCKER </t>
  </si>
  <si>
    <t>2-38-0-Q</t>
  </si>
  <si>
    <t>KINGPOST TRUNK</t>
  </si>
  <si>
    <t>FILTER CLEANING SHOP</t>
  </si>
  <si>
    <t>ELECTRIC SHOP</t>
  </si>
  <si>
    <t>2-395-1-A</t>
  </si>
  <si>
    <t>TOOL ISSUE ROOM</t>
  </si>
  <si>
    <t>DDG 79-102 ONLY</t>
  </si>
  <si>
    <t>GENERAL WORKSHOP</t>
  </si>
  <si>
    <t>2-174-6-Q</t>
  </si>
  <si>
    <t>TEST LAB</t>
  </si>
  <si>
    <t>2-174-8-Q</t>
  </si>
  <si>
    <t>ELECTRONIC WORKSHOP NO 1</t>
  </si>
  <si>
    <t>ELECTRONIC WORKSHOP NO. 2</t>
  </si>
  <si>
    <t>0 1/2-42-1-A</t>
  </si>
  <si>
    <t xml:space="preserve">INERT GAS CYL STOREROOM </t>
  </si>
  <si>
    <t>DDG 72-102</t>
  </si>
  <si>
    <t>FLAMMABLE LIQUIDS ISSUE ROOM</t>
  </si>
  <si>
    <t>FLAMMABLE LIQUID STRM</t>
  </si>
  <si>
    <t>SPECIAL CLOTHING STRM</t>
  </si>
  <si>
    <t xml:space="preserve">SUPPLY DEPT STRM NO. 1 </t>
  </si>
  <si>
    <t>3-346-01-A</t>
  </si>
  <si>
    <t>SUPPLY DEPT STOREROOM NO. 2</t>
  </si>
  <si>
    <t>SUPPLY DEPT STRM NO. 3</t>
  </si>
  <si>
    <t>SUPPLY DEPT STRM NO. 4</t>
  </si>
  <si>
    <t>STORES HDLG &amp; LDG AREA</t>
  </si>
  <si>
    <t>PACKAGE CONVEYOR</t>
  </si>
  <si>
    <t>2-174-4-A</t>
  </si>
  <si>
    <t>ENGINEERS STRM</t>
  </si>
  <si>
    <t>SECURITY LIGHT STOWAGE</t>
  </si>
  <si>
    <t>DECK GEAR LOCKER</t>
  </si>
  <si>
    <t>01-205-O-Q</t>
  </si>
  <si>
    <t>PALLET TRUNK STWG/BTRY CHARGE ROOM</t>
  </si>
  <si>
    <t>01-240-1-A</t>
  </si>
  <si>
    <t>01-308-1-A</t>
  </si>
  <si>
    <t>BOAT GEAR LOCKER</t>
  </si>
  <si>
    <t>0 1/2-W-0-A</t>
  </si>
  <si>
    <t xml:space="preserve">ANCHOR HANDLING EQUIPMENT STOREROOM </t>
  </si>
  <si>
    <t>0 1/2-18-0-A</t>
  </si>
  <si>
    <t>BOSN STRM NO. 1</t>
  </si>
  <si>
    <t>BOSN WORKSHOP</t>
  </si>
  <si>
    <t>BOSN STOREROOM NO. 2</t>
  </si>
  <si>
    <t>BOSN STOREROOM NO. 3</t>
  </si>
  <si>
    <t>CLEANING GEAR LOCKER</t>
  </si>
  <si>
    <t>2-326-2-A</t>
  </si>
  <si>
    <t>2-350-2-A</t>
  </si>
  <si>
    <t>3-102-1-A</t>
  </si>
  <si>
    <t>ANTENNA ACCESS ROOM</t>
  </si>
  <si>
    <t>PASSAGE</t>
  </si>
  <si>
    <t>02-133-1-L</t>
  </si>
  <si>
    <t>ACCESS TRUNK</t>
  </si>
  <si>
    <t>01-335-2-T</t>
  </si>
  <si>
    <t>01-314-01-L</t>
  </si>
  <si>
    <t>1-42-01-L</t>
  </si>
  <si>
    <t>1-78-01-L</t>
  </si>
  <si>
    <t>1-158-8-L</t>
  </si>
  <si>
    <t>1-378-0-L</t>
  </si>
  <si>
    <t>2-46-0-L</t>
  </si>
  <si>
    <t>2-242-2-T</t>
  </si>
  <si>
    <t>3-39-1-T</t>
  </si>
  <si>
    <t>3-42-1-T</t>
  </si>
  <si>
    <t>3-97-1-T</t>
  </si>
  <si>
    <t>ACCESS TRUNK (2ND PLATF)</t>
  </si>
  <si>
    <t>3-97-2-T</t>
  </si>
  <si>
    <t>3-222-0-T</t>
  </si>
  <si>
    <t>ACCESS TRUNK (AC MCHRY RM)</t>
  </si>
  <si>
    <t>3-342-2-L</t>
  </si>
  <si>
    <t>4-22-0-L</t>
  </si>
  <si>
    <t>1-370-1-T</t>
  </si>
  <si>
    <t>ESCAPE TRUNK</t>
  </si>
  <si>
    <t>DELETED</t>
  </si>
  <si>
    <t>GTRB FUEL GRAVITY FEED TANK</t>
  </si>
  <si>
    <t>4-78-1-F</t>
  </si>
  <si>
    <t>FUEL RECEIVING TANK GROUP 1</t>
  </si>
  <si>
    <t>4-78-2-F</t>
  </si>
  <si>
    <t>FUEL RECEIVING TANK GROUP 2</t>
  </si>
  <si>
    <t>FUEL RECEIVING TANK GROUP 3</t>
  </si>
  <si>
    <t>FUEL TANK GROUP 4</t>
  </si>
  <si>
    <t>FUEL EXP SEA WTR OVFL TK GP-5</t>
  </si>
  <si>
    <t>FUEL EXP SEA WTR OVFL TK GP-6</t>
  </si>
  <si>
    <t>5-42-0-F</t>
  </si>
  <si>
    <t>FUEL TANK GROUP 1</t>
  </si>
  <si>
    <t>5-78-1-F</t>
  </si>
  <si>
    <t>5-78-2-F</t>
  </si>
  <si>
    <t>FUEL TANK GROUP 2</t>
  </si>
  <si>
    <t>FUEL EXP SEA WTR OVFL TK GP-2</t>
  </si>
  <si>
    <t>FUEL EXP SEA WTR OVFL TK GP-1</t>
  </si>
  <si>
    <t>FUEL TANK GROUP 3</t>
  </si>
  <si>
    <t>FUEL RECEIVING TANK GROUP 4</t>
  </si>
  <si>
    <t>FUEL EXP SEA WTR OVFL TK GP-3</t>
  </si>
  <si>
    <t>FUEL EXP SEA WTR OVFL TK GP-4</t>
  </si>
  <si>
    <t>FUEL RECEIVING TANK GROUP 5</t>
  </si>
  <si>
    <t>FUEL RECEIVING TANK GROUP 6</t>
  </si>
  <si>
    <t>FUEL TANK GROUP 5</t>
  </si>
  <si>
    <t>FUEL TANK GROUP 6</t>
  </si>
  <si>
    <t>SSGTB  FUEL TANK</t>
  </si>
  <si>
    <t>FUEL SERVICE TANK</t>
  </si>
  <si>
    <t>GTRB WASTE DRAIN CLTG TK</t>
  </si>
  <si>
    <t>2-292-1-F</t>
  </si>
  <si>
    <t>GTRB WASTE DRAIN COLLCTNG TK</t>
  </si>
  <si>
    <t>LUBO STORAGE TANK</t>
  </si>
  <si>
    <t>LUBO SETTLING TANK</t>
  </si>
  <si>
    <t>FORE PEAK TANK</t>
  </si>
  <si>
    <t>POTABLE WATER TANK</t>
  </si>
  <si>
    <t>VCHT ROOM NO. 1</t>
  </si>
  <si>
    <t>VCHT ROOM NO. 2</t>
  </si>
  <si>
    <t>LUBO SUMP TK</t>
  </si>
  <si>
    <t>WASTE WATER DRAIN CLTG TK</t>
  </si>
  <si>
    <t>LUBRICATING OIL SUMP TANK</t>
  </si>
  <si>
    <t>WASTE WATER DRAIN COLLCTNG TK</t>
  </si>
  <si>
    <t>CPCH PROP HYDRAULIC OIL SUMP TANK</t>
  </si>
  <si>
    <t>CPCH PROP HYDRAULIC OIL SUMP TRUNK</t>
  </si>
  <si>
    <t>OILY WASTE DRAIN CLTG TK</t>
  </si>
  <si>
    <t>WASTE OIL TANK</t>
  </si>
  <si>
    <t>OILY WASTE HOLDINGTANK</t>
  </si>
  <si>
    <t>OILY WATER DRAIN COLLCTNG TK</t>
  </si>
  <si>
    <t>VOID</t>
  </si>
  <si>
    <t>01/2-MM-0-V</t>
  </si>
  <si>
    <t>VOID (INACCESSIBLE)</t>
  </si>
  <si>
    <t>3-78-0-V</t>
  </si>
  <si>
    <t>5-1-0-V</t>
  </si>
  <si>
    <t>INACCESSIBLE VOID</t>
  </si>
  <si>
    <t>5-34-0-V</t>
  </si>
  <si>
    <t>6-31-0-V</t>
  </si>
  <si>
    <t>7-4-0-V</t>
  </si>
  <si>
    <t>7-10-0-V</t>
  </si>
  <si>
    <t>7-31-0-V</t>
  </si>
  <si>
    <t>7-42-0-V</t>
  </si>
  <si>
    <t>COFFERDAM</t>
  </si>
  <si>
    <t>ENGINE ROOM NO. 1</t>
  </si>
  <si>
    <t>ENGINE ROOM NO. 2</t>
  </si>
  <si>
    <t>INTAKE ENG RM NO. 2</t>
  </si>
  <si>
    <t>INTAKE ENGINE ROOM NO. 1 (P)</t>
  </si>
  <si>
    <t>INTAKE ENGINE ROOM NO. 1 (S)</t>
  </si>
  <si>
    <t>INTAKE ENGINE ROOM NO. 2</t>
  </si>
  <si>
    <t>INTAKE/UPTAKE ENG ROOM NO. 1</t>
  </si>
  <si>
    <t>INTAKE TRUNK (B) ENGINE ROOM NO. 1</t>
  </si>
  <si>
    <t>INTAKE/UPTAKE ENGINE ROOM NO. 1</t>
  </si>
  <si>
    <t>INTAKE TRUNK (A) ENGINE ROOM NO. 1</t>
  </si>
  <si>
    <t>INTAKE/UPTAKE ENG ROOM NO. 2</t>
  </si>
  <si>
    <t>INTAKE TRUNK (A) ENGINE ROOM NO. 2</t>
  </si>
  <si>
    <t>INTAKE TRUNK (B) ENGINE ROOM NO. 2</t>
  </si>
  <si>
    <t>UPTAKE ENGINE ROOM NO. 1</t>
  </si>
  <si>
    <t>UPTAKE ENGINE ROOM NO. 2</t>
  </si>
  <si>
    <t>AUXILIARY MACHINERY ROOM NO. 1</t>
  </si>
  <si>
    <t>AUXILIARY MACHINERY ROOM NO. 2</t>
  </si>
  <si>
    <t>FAN COIL UNIT ENCLOSURE</t>
  </si>
  <si>
    <t>REFR MCHRY ROOM</t>
  </si>
  <si>
    <t>AIR COND MCHRY &amp; PUMP RM</t>
  </si>
  <si>
    <t>SS GTRB GEN INTAKE</t>
  </si>
  <si>
    <t>SS GTRB GEN INTAKE/EXHAUST TRUNK</t>
  </si>
  <si>
    <t>SHORE POWER STATION</t>
  </si>
  <si>
    <t>SS GTRB GENERATOR  INTAKE TRUNK</t>
  </si>
  <si>
    <t>SS GTRB GEN INTAKE TRUNK</t>
  </si>
  <si>
    <t>SS GTRB GENERATOR EXHAUST TRUNK</t>
  </si>
  <si>
    <t>SS GTRB GENERATOR INTAKE TRUNK</t>
  </si>
  <si>
    <t>DDG 79-87</t>
  </si>
  <si>
    <t>SS GTRB GEN INTAKE/EX TRUNK</t>
  </si>
  <si>
    <t>SS GTRB GEN EXHAUST TRUNK</t>
  </si>
  <si>
    <t>POWER SUPPLY CONVERSION ROOM</t>
  </si>
  <si>
    <t>POWER CONVERSION ROOM</t>
  </si>
  <si>
    <t>GENERATOR ROOM</t>
  </si>
  <si>
    <t>WIRING TRUNK</t>
  </si>
  <si>
    <t>LOAD CENTER ROOM NO 1</t>
  </si>
  <si>
    <t>SWITCHBOARD ROOM NO. 3</t>
  </si>
  <si>
    <t>FAN ROOM</t>
  </si>
  <si>
    <t>SWITCHBOARD ROOM NO. 1 AND CMD MACH OFFICE</t>
  </si>
  <si>
    <t>SWITCHBOARD ROOM NO. 2</t>
  </si>
  <si>
    <t>5-2-0-Q</t>
  </si>
  <si>
    <t>CABLE TRUNK</t>
  </si>
  <si>
    <t>DEGAUSSING POWER ROOM</t>
  </si>
  <si>
    <t>TRASH DISPOSAL ROOM</t>
  </si>
  <si>
    <t>FAN ROOM (S)</t>
  </si>
  <si>
    <t>FAN ROOM (P)</t>
  </si>
  <si>
    <t>FAN ROOM PROTZ NO. 1</t>
  </si>
  <si>
    <t>FAN ROOM PROTZ NO. 2</t>
  </si>
  <si>
    <t>FAN ROOM RADIO XMTR ROOM COMM CENTER CIC</t>
  </si>
  <si>
    <t>FAN ROOM PROTZ NO. 3</t>
  </si>
  <si>
    <t>01-300-4-Q</t>
  </si>
  <si>
    <t>01-338-3-Q</t>
  </si>
  <si>
    <t>IRS EDUCATOR SECONDARY AIR INLET TRUNK</t>
  </si>
  <si>
    <t>1-78-1-Q</t>
  </si>
  <si>
    <t>1-78-2-Q</t>
  </si>
  <si>
    <t>REGISTERED PUBNS OFFICE</t>
  </si>
  <si>
    <t>2-42-2-Q</t>
  </si>
  <si>
    <t>SHIP TOTALS</t>
  </si>
  <si>
    <t>TOTALS</t>
  </si>
  <si>
    <t>NOTES</t>
  </si>
  <si>
    <t>Compartment
No.</t>
  </si>
  <si>
    <t>Compartment Name</t>
  </si>
  <si>
    <t>Deck</t>
  </si>
  <si>
    <r>
      <t>Required
Area ft</t>
    </r>
    <r>
      <rPr>
        <b/>
        <vertAlign val="superscript"/>
        <sz val="8"/>
        <color indexed="8"/>
        <rFont val="Times New Roman"/>
        <family val="1"/>
      </rPr>
      <t>2</t>
    </r>
  </si>
  <si>
    <r>
      <t>Area
ft</t>
    </r>
    <r>
      <rPr>
        <b/>
        <vertAlign val="superscript"/>
        <sz val="8"/>
        <color indexed="8"/>
        <rFont val="Times New Roman"/>
        <family val="1"/>
      </rPr>
      <t>2</t>
    </r>
  </si>
  <si>
    <t>Deck Height
ft</t>
  </si>
  <si>
    <r>
      <t>Volume
ft</t>
    </r>
    <r>
      <rPr>
        <b/>
        <vertAlign val="superscript"/>
        <sz val="8"/>
        <color indexed="8"/>
        <rFont val="Times New Roman"/>
        <family val="1"/>
      </rPr>
      <t>3</t>
    </r>
  </si>
  <si>
    <t>Frame</t>
  </si>
  <si>
    <t>P/S/CL</t>
  </si>
  <si>
    <t>Remarks</t>
  </si>
  <si>
    <t>02-71-2-C</t>
  </si>
  <si>
    <t>Intel Space</t>
  </si>
  <si>
    <t>02 Level</t>
  </si>
  <si>
    <t>-</t>
  </si>
  <si>
    <t>P</t>
  </si>
  <si>
    <t>02-71-0-Q</t>
  </si>
  <si>
    <t>Sensor Compartment</t>
  </si>
  <si>
    <t>CL</t>
  </si>
  <si>
    <t>02-82-0-Q</t>
  </si>
  <si>
    <t>Network Room</t>
  </si>
  <si>
    <t>1-31-0-M</t>
  </si>
  <si>
    <t>Gun Support Room</t>
  </si>
  <si>
    <t>1-63-1-A</t>
  </si>
  <si>
    <t>Decontamination Station/AMIO Accommodation Space</t>
  </si>
  <si>
    <t>S</t>
  </si>
  <si>
    <t>1-95-0-A</t>
  </si>
  <si>
    <t>Law Enforcement Web Gear Lkr Rm</t>
  </si>
  <si>
    <t>3-146-1-Q</t>
  </si>
  <si>
    <t>Electronic/Information Technician Workshop</t>
  </si>
  <si>
    <t>1st Platform</t>
  </si>
  <si>
    <t>Includes volume under false deck.</t>
  </si>
  <si>
    <t>02-66-1-C</t>
  </si>
  <si>
    <t>Radio &amp; Top Secret Room</t>
  </si>
  <si>
    <t>Transducer Eqpt Room</t>
  </si>
  <si>
    <t>Innerbottom</t>
  </si>
  <si>
    <t>5-47-1-Q</t>
  </si>
  <si>
    <t>Transducer Eqpt Tank</t>
  </si>
  <si>
    <t>02-56-0-C</t>
  </si>
  <si>
    <t>Operations Center</t>
  </si>
  <si>
    <t>03-59-0-C</t>
  </si>
  <si>
    <t>03 Level</t>
  </si>
  <si>
    <t/>
  </si>
  <si>
    <t>01-109-3-Q</t>
  </si>
  <si>
    <t>Electronic Eqpt Rm</t>
  </si>
  <si>
    <t>01 Level</t>
  </si>
  <si>
    <t>1-44-0-M</t>
  </si>
  <si>
    <t>Medium Caliber Gun Magazine</t>
  </si>
  <si>
    <t>01-138-2-Q</t>
  </si>
  <si>
    <t>Helicopter Control Station</t>
  </si>
  <si>
    <t>1-109-0-Q</t>
  </si>
  <si>
    <t>Hangar</t>
  </si>
  <si>
    <t>Volume calculated over two decks.</t>
  </si>
  <si>
    <t>01-109-1-Q</t>
  </si>
  <si>
    <t>Aviation Office</t>
  </si>
  <si>
    <t>1-109-1-Q</t>
  </si>
  <si>
    <t>Aviation Workshop</t>
  </si>
  <si>
    <t>1-40-2-T</t>
  </si>
  <si>
    <t>Ordnance Handling Trunk</t>
  </si>
  <si>
    <t>1-115-1-M</t>
  </si>
  <si>
    <t>25mm &amp; 50cal Magazine</t>
  </si>
  <si>
    <t>3-135-4-E</t>
  </si>
  <si>
    <t>JP-5 Pump Room</t>
  </si>
  <si>
    <t>5-135-0-J</t>
  </si>
  <si>
    <t>JP-5 Overflow Tank</t>
  </si>
  <si>
    <t>5-135-1-J</t>
  </si>
  <si>
    <t>3-135-6-J</t>
  </si>
  <si>
    <t xml:space="preserve">JP-5 Service Tank </t>
  </si>
  <si>
    <t>3-140-2-J</t>
  </si>
  <si>
    <t>5-144-1-J</t>
  </si>
  <si>
    <t>5-147-1-J</t>
  </si>
  <si>
    <t>5-147-2-J</t>
  </si>
  <si>
    <t>5-148-2-J</t>
  </si>
  <si>
    <t>5-159-1-J</t>
  </si>
  <si>
    <t>1-133-1-A</t>
  </si>
  <si>
    <t>Aviation Gear Locker</t>
  </si>
  <si>
    <t>Aviation Storeroom 1</t>
  </si>
  <si>
    <t>Required total Aviation Stores is 450 sq. ft.</t>
  </si>
  <si>
    <t>1-118-1-A</t>
  </si>
  <si>
    <t>Aviation Storeroom 2</t>
  </si>
  <si>
    <t>1-130-2-A</t>
  </si>
  <si>
    <t>Aviation Storeroom 3</t>
  </si>
  <si>
    <t>1-109-3-Q</t>
  </si>
  <si>
    <t>Battery Locker (Alkaline)</t>
  </si>
  <si>
    <t>1-123-1-Q</t>
  </si>
  <si>
    <t>Battery Locker</t>
  </si>
  <si>
    <t>3-150-1-Q</t>
  </si>
  <si>
    <t>Electrical Workshop</t>
  </si>
  <si>
    <t>2-174-0-Q</t>
  </si>
  <si>
    <t>Towing/Refueling Station</t>
  </si>
  <si>
    <t>2nd Deck</t>
  </si>
  <si>
    <t>2-174-1-A</t>
  </si>
  <si>
    <t>Mooring &amp; Bosun Stores 1</t>
  </si>
  <si>
    <t>Mooring &amp; Bosun Stores 2</t>
  </si>
  <si>
    <t>1-35-1-M</t>
  </si>
  <si>
    <t>Small Arms Armory</t>
  </si>
  <si>
    <t>1-48-2-M</t>
  </si>
  <si>
    <t>Small Arms Mag No. 1</t>
  </si>
  <si>
    <t>1-51-2-M</t>
  </si>
  <si>
    <t>Small Arms Mag No. 2</t>
  </si>
  <si>
    <t>1-95-2-M</t>
  </si>
  <si>
    <t>Law Enforcement Armory</t>
  </si>
  <si>
    <t>Group 1: Military Mission Subtotal</t>
  </si>
  <si>
    <t>01-54-4-A</t>
  </si>
  <si>
    <t>Locker</t>
  </si>
  <si>
    <t>01-44-3-L</t>
  </si>
  <si>
    <t>01-56-3-L</t>
  </si>
  <si>
    <t>CO SR</t>
  </si>
  <si>
    <t>01-44-2-L</t>
  </si>
  <si>
    <t>Engineering Officer SR</t>
  </si>
  <si>
    <t>01-44-4-L</t>
  </si>
  <si>
    <t>Executive Officer SR</t>
  </si>
  <si>
    <t>01-44-1-L</t>
  </si>
  <si>
    <t>Operations Officer SR</t>
  </si>
  <si>
    <t>01-61-2-L</t>
  </si>
  <si>
    <t>Officer SR (2)</t>
  </si>
  <si>
    <t>01-63-2-L</t>
  </si>
  <si>
    <t>01-65-1-L</t>
  </si>
  <si>
    <t>01-67-1-L</t>
  </si>
  <si>
    <t>01-70-2-L</t>
  </si>
  <si>
    <t>01-72-2-L</t>
  </si>
  <si>
    <t>01-73-1-L</t>
  </si>
  <si>
    <t>01-75-1-L</t>
  </si>
  <si>
    <t>01-56-1-L</t>
  </si>
  <si>
    <t>WR/WC</t>
  </si>
  <si>
    <t>Commanding Officer WR/WC.</t>
  </si>
  <si>
    <t>01-54-2-L</t>
  </si>
  <si>
    <t>Executive Officer WR/WC.</t>
  </si>
  <si>
    <t>01-50-1-L</t>
  </si>
  <si>
    <t>Operations Officer WR/WC.</t>
  </si>
  <si>
    <t>01-50-2-L</t>
  </si>
  <si>
    <t>Engineering Officer WR/WC.</t>
  </si>
  <si>
    <t>01-65-2-L</t>
  </si>
  <si>
    <t>Officer WR/WC.</t>
  </si>
  <si>
    <t>01-66-1-L</t>
  </si>
  <si>
    <t>01-66-2-L</t>
  </si>
  <si>
    <t>01-70-1-L</t>
  </si>
  <si>
    <t>01-70-4-L</t>
  </si>
  <si>
    <t>01-78-2-L</t>
  </si>
  <si>
    <t>CPO WR/WC.</t>
  </si>
  <si>
    <t>01-79-1-L</t>
  </si>
  <si>
    <t>01-115-4-L</t>
  </si>
  <si>
    <t>Aviation WR/WC.</t>
  </si>
  <si>
    <t>01-80-2-L</t>
  </si>
  <si>
    <t>CPO SR (2)</t>
  </si>
  <si>
    <t>01-84-2-L</t>
  </si>
  <si>
    <t>01-89-2-L</t>
  </si>
  <si>
    <t>01-95-0-L</t>
  </si>
  <si>
    <t>01-103-0-L</t>
  </si>
  <si>
    <t>01-103-3-L</t>
  </si>
  <si>
    <t>01-75-3-L</t>
  </si>
  <si>
    <t>01-79-2-L</t>
  </si>
  <si>
    <t>01-88-2-L</t>
  </si>
  <si>
    <t>01-96-1-L</t>
  </si>
  <si>
    <t>01-103-1-L</t>
  </si>
  <si>
    <t>2-42-1-L</t>
  </si>
  <si>
    <t>Crew SR (6)</t>
  </si>
  <si>
    <t>2-42-2-L</t>
  </si>
  <si>
    <t>2-53-3-L</t>
  </si>
  <si>
    <t>2-53-4-L</t>
  </si>
  <si>
    <t>2-65-1-L</t>
  </si>
  <si>
    <t>2-65-2-L</t>
  </si>
  <si>
    <t>2-65-8-L</t>
  </si>
  <si>
    <t>2-76-0-L</t>
  </si>
  <si>
    <t>2-78-2-L</t>
  </si>
  <si>
    <t>2-85-2-L</t>
  </si>
  <si>
    <t>3-42-3-L</t>
  </si>
  <si>
    <t>Crew SR (4)</t>
  </si>
  <si>
    <t>3-42-4-L</t>
  </si>
  <si>
    <t>3-50-1-L</t>
  </si>
  <si>
    <t>3-50-2-L</t>
  </si>
  <si>
    <t>3-58-1-L</t>
  </si>
  <si>
    <t>3-58-2-L</t>
  </si>
  <si>
    <t>1-59-1-L</t>
  </si>
  <si>
    <t>Deck WR/WC.</t>
  </si>
  <si>
    <t>1-104-2-L</t>
  </si>
  <si>
    <t>Law Enforcement Web Gear Lkr Rm WR/WC.</t>
  </si>
  <si>
    <t>2-26-1-L</t>
  </si>
  <si>
    <t>2-48-1-L</t>
  </si>
  <si>
    <t>Crew WR/WC.</t>
  </si>
  <si>
    <t>2-48-2-L</t>
  </si>
  <si>
    <t>2-53-1-L</t>
  </si>
  <si>
    <t>2-53-2-L</t>
  </si>
  <si>
    <t>2-65-6-L</t>
  </si>
  <si>
    <t>2-71-1-L</t>
  </si>
  <si>
    <t>2-71-2-L</t>
  </si>
  <si>
    <t>2-76-1-L</t>
  </si>
  <si>
    <t>2-85-4-L</t>
  </si>
  <si>
    <t>2-90-2-L</t>
  </si>
  <si>
    <t>2-159-1-L</t>
  </si>
  <si>
    <t>3-42-1-L</t>
  </si>
  <si>
    <t>3-42-2-L</t>
  </si>
  <si>
    <t>3-53-1-L</t>
  </si>
  <si>
    <t>3-53-2-L</t>
  </si>
  <si>
    <t>3-60-1-L</t>
  </si>
  <si>
    <t>3-60-2-L</t>
  </si>
  <si>
    <t>3-148-1-L</t>
  </si>
  <si>
    <t>02-93-3-L</t>
  </si>
  <si>
    <t>2-33-0-L</t>
  </si>
  <si>
    <t>Crew Lounge 1</t>
  </si>
  <si>
    <t>2-144-1-L</t>
  </si>
  <si>
    <t>Crew Lounge 2</t>
  </si>
  <si>
    <t>03-71-1-L</t>
  </si>
  <si>
    <t xml:space="preserve">Bridge WR/WC. </t>
  </si>
  <si>
    <t>3-21-0-L</t>
  </si>
  <si>
    <t xml:space="preserve">Physical Fitness Room </t>
  </si>
  <si>
    <t>1-66-1-A</t>
  </si>
  <si>
    <t>Assessment Area</t>
  </si>
  <si>
    <t>1-68-0-Q</t>
  </si>
  <si>
    <t>Crew Training/Ready Room</t>
  </si>
  <si>
    <t>1-69-1-A</t>
  </si>
  <si>
    <t>Shower Area and Contamination Purge Lock</t>
  </si>
  <si>
    <t>2-65-5-L</t>
  </si>
  <si>
    <t>Officer Wardroom / Lounge</t>
  </si>
  <si>
    <t>2-95-2-L</t>
  </si>
  <si>
    <t>CPO Messroom / Lounge</t>
  </si>
  <si>
    <t>2-95-0-L</t>
  </si>
  <si>
    <t>Crew Messroom / Battle Dressing Station</t>
  </si>
  <si>
    <t>2-95-3-Q</t>
  </si>
  <si>
    <t>Galley</t>
  </si>
  <si>
    <t>2-115-1-Q</t>
  </si>
  <si>
    <t>2-128-0-A</t>
  </si>
  <si>
    <t>Chill Stores</t>
  </si>
  <si>
    <t>Deck height reduced due to insulation in overhead.</t>
  </si>
  <si>
    <t>2-136-0-A</t>
  </si>
  <si>
    <t>Freeze Stores</t>
  </si>
  <si>
    <t>2-135-1-L</t>
  </si>
  <si>
    <t>Medical Treatment Room</t>
  </si>
  <si>
    <t>2-129-1-L</t>
  </si>
  <si>
    <t>2-132-1-L</t>
  </si>
  <si>
    <t>Medical WR/WC.</t>
  </si>
  <si>
    <t>2-127-1-A</t>
  </si>
  <si>
    <t>Medical Stores</t>
  </si>
  <si>
    <t>1-62-0-A</t>
  </si>
  <si>
    <t>Ship Store</t>
  </si>
  <si>
    <t>2-151-2-A</t>
  </si>
  <si>
    <t>Vending Storeroom</t>
  </si>
  <si>
    <t>1-59-0-A</t>
  </si>
  <si>
    <t>Ship Store Storeroom</t>
  </si>
  <si>
    <t>2-42-3-L</t>
  </si>
  <si>
    <t>2-57-1-Q</t>
  </si>
  <si>
    <t>Crew Baggage</t>
  </si>
  <si>
    <t>1-31-2-A</t>
  </si>
  <si>
    <t>Weather Gear Lkr</t>
  </si>
  <si>
    <t>01-59-1-A</t>
  </si>
  <si>
    <t>Linen Locker</t>
  </si>
  <si>
    <t>3-50-4-A</t>
  </si>
  <si>
    <t>1-62-1-A</t>
  </si>
  <si>
    <t>CBR Lkr</t>
  </si>
  <si>
    <t>2-46-2-A</t>
  </si>
  <si>
    <t>CBR Storeroom</t>
  </si>
  <si>
    <t>Group 2: Human Support Subtotal</t>
  </si>
  <si>
    <t>2-61-0-T</t>
  </si>
  <si>
    <t>Service Trk</t>
  </si>
  <si>
    <t>Volume calculated over three decks.</t>
  </si>
  <si>
    <t>2-121-0-Q</t>
  </si>
  <si>
    <t>Watermist Pump Room</t>
  </si>
  <si>
    <t>2-152-0-C</t>
  </si>
  <si>
    <t>Engineering Control Center</t>
  </si>
  <si>
    <t>5-71-1-W</t>
  </si>
  <si>
    <t>Cool Water Drain Tank</t>
  </si>
  <si>
    <t>5-95-4-W</t>
  </si>
  <si>
    <t>5-123-1-W</t>
  </si>
  <si>
    <t>3-167-01-E</t>
  </si>
  <si>
    <t>Steering Gear Room</t>
  </si>
  <si>
    <t>3-11-1-Q</t>
  </si>
  <si>
    <t>Chain Locker</t>
  </si>
  <si>
    <t>3-11-2-Q</t>
  </si>
  <si>
    <t>5-26-0-E</t>
  </si>
  <si>
    <t>Bow Thruster Room</t>
  </si>
  <si>
    <t>2-156-2-C</t>
  </si>
  <si>
    <t>Damage Control Central</t>
  </si>
  <si>
    <t>2-26-0-Q</t>
  </si>
  <si>
    <t>Fwd DC Repair Station</t>
  </si>
  <si>
    <t>Deck height increases due to Main Deck shear.</t>
  </si>
  <si>
    <t>2-148-0-Q</t>
  </si>
  <si>
    <t>Aft DC Repair Station</t>
  </si>
  <si>
    <t>1-130-1-Q</t>
  </si>
  <si>
    <t>Crash &amp; Rescue Locker</t>
  </si>
  <si>
    <t>2-159-0-C</t>
  </si>
  <si>
    <t>Damage Control Workshop</t>
  </si>
  <si>
    <t>1-123-3-W</t>
  </si>
  <si>
    <t>Watermist Tank</t>
  </si>
  <si>
    <t>2-90-4-Q</t>
  </si>
  <si>
    <t>AFFF Station No. 1</t>
  </si>
  <si>
    <t>2-154-4-Q</t>
  </si>
  <si>
    <t>AFFF Station No. 2</t>
  </si>
  <si>
    <t>2-167-1-Q</t>
  </si>
  <si>
    <t>AFFF Station No. 3</t>
  </si>
  <si>
    <t>1-86-2-Q</t>
  </si>
  <si>
    <t>Personnel Office</t>
  </si>
  <si>
    <t>3-144-1-Q</t>
  </si>
  <si>
    <t>Engineering Log Office</t>
  </si>
  <si>
    <t>2-159-2-Q</t>
  </si>
  <si>
    <t>Supply Office</t>
  </si>
  <si>
    <t>2-162-2-Q</t>
  </si>
  <si>
    <t>1-61-2-Q</t>
  </si>
  <si>
    <t>Quarterdeck Station Lkr</t>
  </si>
  <si>
    <t>1-90-2-Q</t>
  </si>
  <si>
    <t>Deck Office</t>
  </si>
  <si>
    <t>02-67-2-Q</t>
  </si>
  <si>
    <t>Ops Center Office</t>
  </si>
  <si>
    <t>01-109-2-A</t>
  </si>
  <si>
    <t>RAS Storeroom</t>
  </si>
  <si>
    <t>1-138-2-A</t>
  </si>
  <si>
    <t>Fueling Station</t>
  </si>
  <si>
    <t>3-150-2-Q</t>
  </si>
  <si>
    <t>Machine Workshop</t>
  </si>
  <si>
    <t>1-65-2-Q</t>
  </si>
  <si>
    <t>Boat Workshop</t>
  </si>
  <si>
    <t>2-159-3-K</t>
  </si>
  <si>
    <t>HAZMINCEN</t>
  </si>
  <si>
    <t>1-85-1-A</t>
  </si>
  <si>
    <t>General Stores 1</t>
  </si>
  <si>
    <t>2-121-3-A</t>
  </si>
  <si>
    <t>General Stores 2</t>
  </si>
  <si>
    <t>3-144-2-A</t>
  </si>
  <si>
    <t>Engineering Storeroom 1</t>
  </si>
  <si>
    <t>Required total Engineering Stores is 137 sq. ft.</t>
  </si>
  <si>
    <t>3-148-0-A</t>
  </si>
  <si>
    <t>Engineering Storeroom 2</t>
  </si>
  <si>
    <t>1-26-0-A</t>
  </si>
  <si>
    <t>Deck Gear Lkr/AMIO Stowage</t>
  </si>
  <si>
    <t>2-167-3-A</t>
  </si>
  <si>
    <t>Paint Locker</t>
  </si>
  <si>
    <t>2-E-0-A</t>
  </si>
  <si>
    <t>Fwd Bosun Store</t>
  </si>
  <si>
    <t>1-63-2-A</t>
  </si>
  <si>
    <t>Boat Gear Locker</t>
  </si>
  <si>
    <t>1-76-1-A</t>
  </si>
  <si>
    <t>2-15-0-Q</t>
  </si>
  <si>
    <t>Boatswain Workshop</t>
  </si>
  <si>
    <t>02-93-1-L</t>
  </si>
  <si>
    <t>01-59-4-A</t>
  </si>
  <si>
    <t>01-95-1-A</t>
  </si>
  <si>
    <t>Cleaning Gear Locker</t>
  </si>
  <si>
    <t>01-115-2-A</t>
  </si>
  <si>
    <t>1-64-1-A</t>
  </si>
  <si>
    <t>2-36-2-A</t>
  </si>
  <si>
    <t>2-61-1-A</t>
  </si>
  <si>
    <t>2-124-4-A</t>
  </si>
  <si>
    <t>2-164-1-A</t>
  </si>
  <si>
    <t>3-52-1-A</t>
  </si>
  <si>
    <t>3-146-0-A</t>
  </si>
  <si>
    <t>02-59-1-L</t>
  </si>
  <si>
    <t>Passageway</t>
  </si>
  <si>
    <t>01-56-0-L</t>
  </si>
  <si>
    <t>01-67-3-L</t>
  </si>
  <si>
    <t>01-80-4-L</t>
  </si>
  <si>
    <t>01-95-01-L</t>
  </si>
  <si>
    <t>1-36-2-L</t>
  </si>
  <si>
    <t>Ammunition Handling Passageway</t>
  </si>
  <si>
    <t>1-56-0-L</t>
  </si>
  <si>
    <t>1-93-0-L</t>
  </si>
  <si>
    <t>1-95-4-L</t>
  </si>
  <si>
    <t>2-26-01-L</t>
  </si>
  <si>
    <t>2-42-0-L</t>
  </si>
  <si>
    <t>2-65-3-L</t>
  </si>
  <si>
    <t>2-65-4-L</t>
  </si>
  <si>
    <t>2-121-01-L</t>
  </si>
  <si>
    <t>2-144-0-L</t>
  </si>
  <si>
    <t>2-167-0-L</t>
  </si>
  <si>
    <t>3-48-0-L</t>
  </si>
  <si>
    <t>3-144-0-L</t>
  </si>
  <si>
    <t>3-169-2-L</t>
  </si>
  <si>
    <t>02-62-1-T</t>
  </si>
  <si>
    <t>02-93-5-T</t>
  </si>
  <si>
    <t>01-56-2-T</t>
  </si>
  <si>
    <t>01-59-3-T</t>
  </si>
  <si>
    <t>01-62-1-T</t>
  </si>
  <si>
    <t>1-54-2-T</t>
  </si>
  <si>
    <t>1-101-2-T</t>
  </si>
  <si>
    <t>2-21-4-T</t>
  </si>
  <si>
    <t>2-83-1-T</t>
  </si>
  <si>
    <t>2-95-1-T</t>
  </si>
  <si>
    <t>2-121-1-T</t>
  </si>
  <si>
    <t xml:space="preserve"> </t>
  </si>
  <si>
    <t>2-155-1-T</t>
  </si>
  <si>
    <t>02-57-1-L</t>
  </si>
  <si>
    <t>Weather Vestibule</t>
  </si>
  <si>
    <t>02-95-1-L</t>
  </si>
  <si>
    <t>01-102-1-L</t>
  </si>
  <si>
    <t>01-102-2-L</t>
  </si>
  <si>
    <t>2-174-2-L</t>
  </si>
  <si>
    <t>3-165-2-T</t>
  </si>
  <si>
    <t>4-71-2-T</t>
  </si>
  <si>
    <t>4-119-2-T</t>
  </si>
  <si>
    <t>Volume calculated over four decks.</t>
  </si>
  <si>
    <t>4-133-2-T</t>
  </si>
  <si>
    <t>4-50-1-F</t>
  </si>
  <si>
    <t>FO Tank</t>
  </si>
  <si>
    <t>4-50-2-F</t>
  </si>
  <si>
    <t>4-50-3-F</t>
  </si>
  <si>
    <t>4-50-4-F</t>
  </si>
  <si>
    <t>4-59-2-F</t>
  </si>
  <si>
    <t>4-59-1-F</t>
  </si>
  <si>
    <t xml:space="preserve">FO Tank </t>
  </si>
  <si>
    <t>4-65-3-W</t>
  </si>
  <si>
    <t>Gray Water Tank</t>
  </si>
  <si>
    <t>4-65-4-W</t>
  </si>
  <si>
    <t>5-65-1-F</t>
  </si>
  <si>
    <t>5-65-2-F</t>
  </si>
  <si>
    <t>5-71-3-F</t>
  </si>
  <si>
    <t>5-71-4-F</t>
  </si>
  <si>
    <t>5-83-1-F</t>
  </si>
  <si>
    <t>5-83-2-F</t>
  </si>
  <si>
    <t>5-89-1-F</t>
  </si>
  <si>
    <t>5-89-2-F</t>
  </si>
  <si>
    <t>5-92-2-F</t>
  </si>
  <si>
    <t>Synthetic Oil Drain Tank</t>
  </si>
  <si>
    <t>5-95-8-F</t>
  </si>
  <si>
    <t>5-97-2-F</t>
  </si>
  <si>
    <t>5-103-1-F</t>
  </si>
  <si>
    <t>5-103-2-F</t>
  </si>
  <si>
    <t>5-109-1-F</t>
  </si>
  <si>
    <t>5-109-2-F</t>
  </si>
  <si>
    <t>5-115-1-F</t>
  </si>
  <si>
    <t>5-115-2-F</t>
  </si>
  <si>
    <t>5-121-1-F</t>
  </si>
  <si>
    <t>5-121-2-F</t>
  </si>
  <si>
    <t>5-135-4-F</t>
  </si>
  <si>
    <t>5-138-0-F</t>
  </si>
  <si>
    <t>5-153-0-W</t>
  </si>
  <si>
    <t>Ballast Tank</t>
  </si>
  <si>
    <t>5-77-0-F</t>
  </si>
  <si>
    <t>FO Transfer Overflow Tank</t>
  </si>
  <si>
    <t>3-83-2-F</t>
  </si>
  <si>
    <t>FO Service Tank</t>
  </si>
  <si>
    <t>3-89-2-F</t>
  </si>
  <si>
    <t>3-109-1-F</t>
  </si>
  <si>
    <t>3-115-1-F</t>
  </si>
  <si>
    <t>3-129-2-F</t>
  </si>
  <si>
    <t>3-132-2-F</t>
  </si>
  <si>
    <t>4-68-1-E</t>
  </si>
  <si>
    <t>Gray Water Eqpt Rm</t>
  </si>
  <si>
    <t>4-42-1-W</t>
  </si>
  <si>
    <t>4-42-2-W</t>
  </si>
  <si>
    <t>5-15-0-W</t>
  </si>
  <si>
    <t>5-42-0-W</t>
  </si>
  <si>
    <t>5-167-0-W</t>
  </si>
  <si>
    <t>3-135-1-W</t>
  </si>
  <si>
    <t>3-135-2-W</t>
  </si>
  <si>
    <t>3-169-0-E</t>
  </si>
  <si>
    <t>VCHT Pump Room</t>
  </si>
  <si>
    <t>5-74-2-W</t>
  </si>
  <si>
    <t>Waste Water Drain Collection Tank</t>
  </si>
  <si>
    <t>5-95-1-W</t>
  </si>
  <si>
    <t>5-121-4-W</t>
  </si>
  <si>
    <t>Waste Water Drain Tank</t>
  </si>
  <si>
    <t>5-153-2-W</t>
  </si>
  <si>
    <t>4-65-1-W</t>
  </si>
  <si>
    <t>4-65-2-W</t>
  </si>
  <si>
    <t>4-95-1-F</t>
  </si>
  <si>
    <t>4-100-1-F</t>
  </si>
  <si>
    <t>5-95-6-F</t>
  </si>
  <si>
    <t>Dirty Oil Tank</t>
  </si>
  <si>
    <t>5-71-2-F</t>
  </si>
  <si>
    <t>Oily Waste Drain Collection Tank</t>
  </si>
  <si>
    <t>5-95-2-F</t>
  </si>
  <si>
    <t>5-121-3-F</t>
  </si>
  <si>
    <t>5-135-01-V</t>
  </si>
  <si>
    <t>Accessible Void</t>
  </si>
  <si>
    <t>5-135-2-V</t>
  </si>
  <si>
    <t>5-144-3-V</t>
  </si>
  <si>
    <t>5-144-2-V</t>
  </si>
  <si>
    <t>5-95-3-F</t>
  </si>
  <si>
    <t>Group 3: Ship Support Subtotal</t>
  </si>
  <si>
    <t>4-65-0-E</t>
  </si>
  <si>
    <t>Fwd Main Machinery Room</t>
  </si>
  <si>
    <t>Area includes grating. Volume calculated over two decks.</t>
  </si>
  <si>
    <t>4-95-0-E</t>
  </si>
  <si>
    <t>Aft Main Machinery Room</t>
  </si>
  <si>
    <t>2-84-1-T</t>
  </si>
  <si>
    <t>FWD Intake/Uptake</t>
  </si>
  <si>
    <t>Volume calculated over five decks.</t>
  </si>
  <si>
    <t>2-109-2-T</t>
  </si>
  <si>
    <t>Aft Intake/Uptake</t>
  </si>
  <si>
    <t>5-135-3-F</t>
  </si>
  <si>
    <t>5-B-0-W</t>
  </si>
  <si>
    <t>4-121-0-E</t>
  </si>
  <si>
    <t>Auxiliary Machinery Room</t>
  </si>
  <si>
    <t>3-152-0-Q</t>
  </si>
  <si>
    <t>A/C Machinery Room</t>
  </si>
  <si>
    <t>2-121-2-T</t>
  </si>
  <si>
    <t>AMR Trunk</t>
  </si>
  <si>
    <t>02-56-1-Q</t>
  </si>
  <si>
    <t>Power Distribution Room</t>
  </si>
  <si>
    <t>2-129-2-Q</t>
  </si>
  <si>
    <t>Incinerator / Trash Room</t>
  </si>
  <si>
    <t>2-144-2-Q</t>
  </si>
  <si>
    <t>Solid Waste Storeroom</t>
  </si>
  <si>
    <t>03-71-0-Q</t>
  </si>
  <si>
    <t>Fan Room</t>
  </si>
  <si>
    <t>02-61-1-Q</t>
  </si>
  <si>
    <t>02-64-2-Q</t>
  </si>
  <si>
    <t>02-91-2-Q</t>
  </si>
  <si>
    <t>1-50-1-Q</t>
  </si>
  <si>
    <t>1-71-2-Q</t>
  </si>
  <si>
    <t>1-80-0-Q</t>
  </si>
  <si>
    <t>2-26-2-Q</t>
  </si>
  <si>
    <t>2-109-1-Q</t>
  </si>
  <si>
    <t>2-121-4-A</t>
  </si>
  <si>
    <t>Dry Stores</t>
  </si>
  <si>
    <t>1-109-2-T</t>
  </si>
  <si>
    <t>Vent Trunk</t>
  </si>
  <si>
    <t>1-109-5-T</t>
  </si>
  <si>
    <t>1-126-1-T</t>
  </si>
  <si>
    <t>2-80-1-T</t>
  </si>
  <si>
    <t>Group 4: Ship Machinery Subtotal</t>
  </si>
  <si>
    <t>02-58-2-Q</t>
  </si>
  <si>
    <t>Unassigned</t>
  </si>
  <si>
    <t>01-56-4-Q</t>
  </si>
  <si>
    <t>01-59-2-Q</t>
  </si>
  <si>
    <t>01-61-1-Q</t>
  </si>
  <si>
    <t>01-93-1-Q</t>
  </si>
  <si>
    <t>01-93-2-Q</t>
  </si>
  <si>
    <t>01-97-1-Q</t>
  </si>
  <si>
    <t>01-104-2-Q</t>
  </si>
  <si>
    <t>01-114-1-Q</t>
  </si>
  <si>
    <t>01-116-1-Q</t>
  </si>
  <si>
    <t>1-31-1-Q</t>
  </si>
  <si>
    <t>1-44-2-Q</t>
  </si>
  <si>
    <t>1-56-1-Q</t>
  </si>
  <si>
    <t>1-80-1-Q</t>
  </si>
  <si>
    <t>1-84-2-Q</t>
  </si>
  <si>
    <t>2-21-2-Q</t>
  </si>
  <si>
    <t>Deck height increases due to Main Deck Shear.</t>
  </si>
  <si>
    <t>2-21-6-Q</t>
  </si>
  <si>
    <t>2-25-2-Q</t>
  </si>
  <si>
    <t>2-33-1-Q</t>
  </si>
  <si>
    <t>2-33-2-Q</t>
  </si>
  <si>
    <t>2-36-1-Q</t>
  </si>
  <si>
    <t>2-39-2-Q</t>
  </si>
  <si>
    <t>2-56-2-Q</t>
  </si>
  <si>
    <t>2-79-2-Q</t>
  </si>
  <si>
    <t>2-92-2-Q</t>
  </si>
  <si>
    <t>2-118-2-Q</t>
  </si>
  <si>
    <t>2-119-2-Q</t>
  </si>
  <si>
    <t>2-124-2-Q</t>
  </si>
  <si>
    <t>2-154-2-Q</t>
  </si>
  <si>
    <t>2-167-2-Q</t>
  </si>
  <si>
    <t>2-167-4-Q</t>
  </si>
  <si>
    <t>2-170-1-Q</t>
  </si>
  <si>
    <t>3-15-0-Q</t>
  </si>
  <si>
    <t>3-48-1-Q</t>
  </si>
  <si>
    <t>3-48-2-Q</t>
  </si>
  <si>
    <t>3-50-3-Q</t>
  </si>
  <si>
    <t>3-135-3-Q</t>
  </si>
  <si>
    <t>Group 5: Unassigned Subtotal</t>
  </si>
  <si>
    <t>Flight IIa</t>
  </si>
  <si>
    <t>OPC Des</t>
  </si>
  <si>
    <t>Compartment No.</t>
  </si>
  <si>
    <r>
      <t>Area
m</t>
    </r>
    <r>
      <rPr>
        <b/>
        <vertAlign val="superscript"/>
        <sz val="10"/>
        <color indexed="8"/>
        <rFont val="Arial"/>
        <family val="2"/>
      </rPr>
      <t>2</t>
    </r>
  </si>
  <si>
    <r>
      <t>Volume
m</t>
    </r>
    <r>
      <rPr>
        <b/>
        <vertAlign val="superscript"/>
        <sz val="10"/>
        <color indexed="8"/>
        <rFont val="Arial"/>
        <family val="2"/>
      </rPr>
      <t>3</t>
    </r>
  </si>
  <si>
    <t>Comment
(See Gen. Note 5)</t>
  </si>
  <si>
    <t>Hull
Applicability</t>
  </si>
  <si>
    <t>02-31-2-C</t>
  </si>
  <si>
    <t>1-22-2-C</t>
  </si>
  <si>
    <t>02-37-2-Q</t>
  </si>
  <si>
    <t>Totals for Space Class: 1.11</t>
  </si>
  <si>
    <t>03-30-0-C</t>
  </si>
  <si>
    <t>5-59-1-Q</t>
  </si>
  <si>
    <t>Totals for Space Class: 1.12</t>
  </si>
  <si>
    <t>2-18-1-C</t>
  </si>
  <si>
    <t>01-19-0-C</t>
  </si>
  <si>
    <t>01-25-1-C</t>
  </si>
  <si>
    <t>02-31-1-C</t>
  </si>
  <si>
    <t>02-37-4-C</t>
  </si>
  <si>
    <t>02-39-1-C</t>
  </si>
  <si>
    <t>1-26-2-C</t>
  </si>
  <si>
    <t>2-47-1-Q</t>
  </si>
  <si>
    <t>3-50-2-C</t>
  </si>
  <si>
    <t>Totals for Space Class: 1.13</t>
  </si>
  <si>
    <t>3-24-1-C</t>
  </si>
  <si>
    <t>3-47-2-C</t>
  </si>
  <si>
    <t>Totals for Space Class: 1.15</t>
  </si>
  <si>
    <t>02-44-0-C</t>
  </si>
  <si>
    <t>02-44-1-M</t>
  </si>
  <si>
    <t>02-44-2-M</t>
  </si>
  <si>
    <t>02-48-0-M</t>
  </si>
  <si>
    <t>Totals for Space Class: 1.2</t>
  </si>
  <si>
    <t>2-11-0-M</t>
  </si>
  <si>
    <t>Totals for Space Class: 1.21</t>
  </si>
  <si>
    <t>01-54-2-Q</t>
  </si>
  <si>
    <t>Totals for Space Class: 1.32</t>
  </si>
  <si>
    <t>1-36-01-Q</t>
  </si>
  <si>
    <t>Totals for Space Class: 1.34</t>
  </si>
  <si>
    <t>1.35305/1.31301</t>
  </si>
  <si>
    <t>01-37-2-Q</t>
  </si>
  <si>
    <t>Totals for Space Class: 1.35</t>
  </si>
  <si>
    <t>1-54-2-Q</t>
  </si>
  <si>
    <t>Totals for Space Class: 1.36</t>
  </si>
  <si>
    <t>1-38-0-M</t>
  </si>
  <si>
    <t>1-38-2-M</t>
  </si>
  <si>
    <t>1-38-6-M</t>
  </si>
  <si>
    <t>Totals for Space Class: 1.37</t>
  </si>
  <si>
    <t>5-60-1-J</t>
  </si>
  <si>
    <t>5-60-2-J</t>
  </si>
  <si>
    <t>4-60-0-J</t>
  </si>
  <si>
    <t>4-64-0-J</t>
  </si>
  <si>
    <t>Totals for Space Class: 1.38</t>
  </si>
  <si>
    <t>2-9-0-Q</t>
  </si>
  <si>
    <t>Totals for Space Class: 1.61</t>
  </si>
  <si>
    <t>2-7-2-M</t>
  </si>
  <si>
    <t>Totals for Space Class: 1.91</t>
  </si>
  <si>
    <t>1-45-1-M</t>
  </si>
  <si>
    <t>Totals for Space Class: 1.92</t>
  </si>
  <si>
    <t>2-9-2-A</t>
  </si>
  <si>
    <t>Totals for Space Class: 1.94</t>
  </si>
  <si>
    <t>01-25-4-L</t>
  </si>
  <si>
    <t>01-25-6-L</t>
  </si>
  <si>
    <t>01-25-1-L</t>
  </si>
  <si>
    <t>01-28-1-L</t>
  </si>
  <si>
    <t>01-29-2-L</t>
  </si>
  <si>
    <t>01-32-1-L</t>
  </si>
  <si>
    <t>01-32-2-L</t>
  </si>
  <si>
    <t>1-24-1-L</t>
  </si>
  <si>
    <t>1-22-3-L</t>
  </si>
  <si>
    <t>01-25-8-L</t>
  </si>
  <si>
    <t>1-22-1-L</t>
  </si>
  <si>
    <t>01-25-3-L</t>
  </si>
  <si>
    <t>01-28-3-L</t>
  </si>
  <si>
    <t>01-30-4-L</t>
  </si>
  <si>
    <t>01-34-1-L</t>
  </si>
  <si>
    <t>01-36-4-L</t>
  </si>
  <si>
    <t>1-24-3-L</t>
  </si>
  <si>
    <t>01-25-2-L</t>
  </si>
  <si>
    <t>Totals for Space Class: 2.11</t>
  </si>
  <si>
    <t>2-15-1-L</t>
  </si>
  <si>
    <t>2-15-2-L</t>
  </si>
  <si>
    <t>2-18-2-L</t>
  </si>
  <si>
    <t>2-21-2-L</t>
  </si>
  <si>
    <t>2-45-4-L</t>
  </si>
  <si>
    <t>2-50-2-L</t>
  </si>
  <si>
    <t>2-15-3-L</t>
  </si>
  <si>
    <t>2-17-2-L</t>
  </si>
  <si>
    <t>2-20-2-L</t>
  </si>
  <si>
    <t>2-23-2-L</t>
  </si>
  <si>
    <t>2-47-2-L</t>
  </si>
  <si>
    <t>2-49-1-L</t>
  </si>
  <si>
    <t>2-49-2-L</t>
  </si>
  <si>
    <t>Totals for Space Class: 2.12</t>
  </si>
  <si>
    <t>2-45-0-L</t>
  </si>
  <si>
    <t>2-51-1-L</t>
  </si>
  <si>
    <t>2-52-01-L</t>
  </si>
  <si>
    <t>3-11-2-L</t>
  </si>
  <si>
    <t>3-15-1-L</t>
  </si>
  <si>
    <t>3-18-1-L</t>
  </si>
  <si>
    <t>3-18-4-L</t>
  </si>
  <si>
    <t>2-50-4-L</t>
  </si>
  <si>
    <t>2-51-0-L</t>
  </si>
  <si>
    <t>2-52-0-L</t>
  </si>
  <si>
    <t>2-52-1-L</t>
  </si>
  <si>
    <t>3-14-2-L</t>
  </si>
  <si>
    <t>3-17-1-L</t>
  </si>
  <si>
    <t>3-18-2-L</t>
  </si>
  <si>
    <t>3-21-1-L</t>
  </si>
  <si>
    <t>2-19-2-L</t>
  </si>
  <si>
    <t>2-44-2-L</t>
  </si>
  <si>
    <t>3-46-2-L</t>
  </si>
  <si>
    <t>3-65-2-T</t>
  </si>
  <si>
    <t>4-18-1-T</t>
  </si>
  <si>
    <t>4-44-1-T</t>
  </si>
  <si>
    <t>4-45-1-T</t>
  </si>
  <si>
    <t>3-11-1-L</t>
  </si>
  <si>
    <t>Totals for Space Class: 2.13</t>
  </si>
  <si>
    <t>3-24-2-L</t>
  </si>
  <si>
    <t>Totals for Space Class: 2.15</t>
  </si>
  <si>
    <t>2-40-4-L</t>
  </si>
  <si>
    <t>2-40-3-L</t>
  </si>
  <si>
    <t>2-34-0-L</t>
  </si>
  <si>
    <t>Totals for Space Class: 2.21</t>
  </si>
  <si>
    <t>2-34-4-Q</t>
  </si>
  <si>
    <t>2-40-2-Q</t>
  </si>
  <si>
    <t>Totals for Space Class: 2.22</t>
  </si>
  <si>
    <t>2-26-2-A</t>
  </si>
  <si>
    <t>Totals for Space Class: 2.23</t>
  </si>
  <si>
    <t>2-45-3-L</t>
  </si>
  <si>
    <t>Totals for Space Class: 2.31</t>
  </si>
  <si>
    <t>3-20-1-Q</t>
  </si>
  <si>
    <t>Totals for Space Class: 2.41</t>
  </si>
  <si>
    <t>2-11-3-Q</t>
  </si>
  <si>
    <t>Totals for Space Class: 2.42</t>
  </si>
  <si>
    <t>3-4-1-A</t>
  </si>
  <si>
    <t>Totals for Space Class: 2.51</t>
  </si>
  <si>
    <t>1-35-1-L</t>
  </si>
  <si>
    <t>1-33-3-L</t>
  </si>
  <si>
    <t>1-34-3-L</t>
  </si>
  <si>
    <t>1-33-1-L</t>
  </si>
  <si>
    <t>Totals for Space Class: 2.61</t>
  </si>
  <si>
    <t>3-4-2-A</t>
  </si>
  <si>
    <t>Totals for Space Class: 2.62</t>
  </si>
  <si>
    <t>2-24-2-C</t>
  </si>
  <si>
    <t>Totals for Space Class: 3.21</t>
  </si>
  <si>
    <t>2-43-1-Q</t>
  </si>
  <si>
    <t>1-37-0-A</t>
  </si>
  <si>
    <t>Totals for Space Class: 3.22</t>
  </si>
  <si>
    <t>1-31-1-W</t>
  </si>
  <si>
    <t>2-61-2-W</t>
  </si>
  <si>
    <t>Totals for Space Class: 3.25</t>
  </si>
  <si>
    <t>2-8-1-Q</t>
  </si>
  <si>
    <t>1-19-1-L</t>
  </si>
  <si>
    <t>Totals for Space Class: 3.30</t>
  </si>
  <si>
    <t>3-2-01-Q</t>
  </si>
  <si>
    <t>3-2-0-W</t>
  </si>
  <si>
    <t>Totals for Space Class: 3.51</t>
  </si>
  <si>
    <t>3.53007/011</t>
  </si>
  <si>
    <t>02-48-2-A</t>
  </si>
  <si>
    <t>1-56-4-F</t>
  </si>
  <si>
    <t>Totals for Space Class: 3.53</t>
  </si>
  <si>
    <t>1-31-4-Q</t>
  </si>
  <si>
    <t>3-65-0-Q</t>
  </si>
  <si>
    <t>Totals for Space Class: 3.54</t>
  </si>
  <si>
    <t>2-4-0-Q</t>
  </si>
  <si>
    <t>Totals for Space Class: 3.62</t>
  </si>
  <si>
    <t>02-48-1-C</t>
  </si>
  <si>
    <t>Totals for Space Class: 3.7</t>
  </si>
  <si>
    <t>1-36-0-K</t>
  </si>
  <si>
    <t>3-10-1-K</t>
  </si>
  <si>
    <t>3-7-1-K</t>
  </si>
  <si>
    <t>3-8-2-A</t>
  </si>
  <si>
    <t>Totals for Space Class: 3.71</t>
  </si>
  <si>
    <t>2-4-1-A</t>
  </si>
  <si>
    <t>Totals for Space Class: 3.73</t>
  </si>
  <si>
    <t>1-56-2-A</t>
  </si>
  <si>
    <t>1-38-4-A</t>
  </si>
  <si>
    <t>Totals for Space Class: 3.74</t>
  </si>
  <si>
    <t>02-30-1-A</t>
  </si>
  <si>
    <t>2-42-1-A</t>
  </si>
  <si>
    <t>3-25-0-A</t>
  </si>
  <si>
    <t>Totals for Space Class: 3.78</t>
  </si>
  <si>
    <t>3-30-2-T</t>
  </si>
  <si>
    <t>04-31-0-L</t>
  </si>
  <si>
    <t>Weather Passage</t>
  </si>
  <si>
    <t>02-30-0-L</t>
  </si>
  <si>
    <t>02-40-0-L</t>
  </si>
  <si>
    <t>01-25-0-L</t>
  </si>
  <si>
    <t>01-25-01-L</t>
  </si>
  <si>
    <t>1-17-0-L</t>
  </si>
  <si>
    <t>1-19-0-L</t>
  </si>
  <si>
    <t>1-26-0-L</t>
  </si>
  <si>
    <t>1-31-2-L</t>
  </si>
  <si>
    <t>2-6-0-L</t>
  </si>
  <si>
    <t>2-11-01-L</t>
  </si>
  <si>
    <t>2-18-0-L</t>
  </si>
  <si>
    <t>2-26-0-L</t>
  </si>
  <si>
    <t>2-45-1-L</t>
  </si>
  <si>
    <t>2-45-2-L</t>
  </si>
  <si>
    <t>3-5-1-L</t>
  </si>
  <si>
    <t>3-13-0-L</t>
  </si>
  <si>
    <t>3-18-0-L</t>
  </si>
  <si>
    <t>03-34-0-T</t>
  </si>
  <si>
    <t>03-36-0-T</t>
  </si>
  <si>
    <t>1-25-1-T</t>
  </si>
  <si>
    <t>1-54-4-T</t>
  </si>
  <si>
    <t>2-34-3-T</t>
  </si>
  <si>
    <t>2-40-1-L</t>
  </si>
  <si>
    <t>2-52-2-T</t>
  </si>
  <si>
    <t>3-20-2-T</t>
  </si>
  <si>
    <t>3-21-2-T</t>
  </si>
  <si>
    <t>2-11-1-T</t>
  </si>
  <si>
    <t>2-50-3-T</t>
  </si>
  <si>
    <t>3-54-1-T</t>
  </si>
  <si>
    <t>Totals for Space Class: 3.82</t>
  </si>
  <si>
    <t>4-11-1-F</t>
  </si>
  <si>
    <t>4-11-2-F</t>
  </si>
  <si>
    <t>5-12-0-F</t>
  </si>
  <si>
    <t>5-18-0-F</t>
  </si>
  <si>
    <t>5-26-0-F</t>
  </si>
  <si>
    <t>5-37-0-F</t>
  </si>
  <si>
    <t>5-37-1-F</t>
  </si>
  <si>
    <t>LCS 15AF</t>
  </si>
  <si>
    <t>5-37-2-F</t>
  </si>
  <si>
    <t>5-45-0-F</t>
  </si>
  <si>
    <t>5-54-1-F</t>
  </si>
  <si>
    <t>5-54-2-F</t>
  </si>
  <si>
    <t>5-49-0-F</t>
  </si>
  <si>
    <t>5-41-1-F</t>
  </si>
  <si>
    <t>5-41-2-F</t>
  </si>
  <si>
    <t>5-41-0-F</t>
  </si>
  <si>
    <t>3-40-3-F</t>
  </si>
  <si>
    <t>3-40-4-F</t>
  </si>
  <si>
    <t>4-37-2-F</t>
  </si>
  <si>
    <t>4-38-1-F</t>
  </si>
  <si>
    <t>4-38-2-F</t>
  </si>
  <si>
    <t>4-18-1-F</t>
  </si>
  <si>
    <t>4-18-2-F</t>
  </si>
  <si>
    <t>5-20-1-F</t>
  </si>
  <si>
    <t>4-48-2-F</t>
  </si>
  <si>
    <t>4-49-2-F</t>
  </si>
  <si>
    <t>3-34-2-F</t>
  </si>
  <si>
    <t>3-34-4-F</t>
  </si>
  <si>
    <t>4-39-1-F</t>
  </si>
  <si>
    <t>4-40-1-F</t>
  </si>
  <si>
    <t>4-41-1-F</t>
  </si>
  <si>
    <t>5-26-2-F</t>
  </si>
  <si>
    <t>5-31-1-F</t>
  </si>
  <si>
    <t>5-31-2-F</t>
  </si>
  <si>
    <t>5-34-1-F</t>
  </si>
  <si>
    <t>5-34-2-F</t>
  </si>
  <si>
    <t>5-35-1-F</t>
  </si>
  <si>
    <t>5-35-2-F</t>
  </si>
  <si>
    <t>5-52-1-F</t>
  </si>
  <si>
    <t>5-52-2-F</t>
  </si>
  <si>
    <t>5-66-1-F</t>
  </si>
  <si>
    <t>5-66-2-F</t>
  </si>
  <si>
    <t>Totals for Space Class: 3.91</t>
  </si>
  <si>
    <t>5-A-0-W</t>
  </si>
  <si>
    <t>5-4-0-W</t>
  </si>
  <si>
    <t>Totals for Space Class: 3.92</t>
  </si>
  <si>
    <t>4-8-0-W</t>
  </si>
  <si>
    <t>4-10-0-W</t>
  </si>
  <si>
    <t>Totals for Space Class: 3.93</t>
  </si>
  <si>
    <t>4-17-0-W</t>
  </si>
  <si>
    <t>3-36-1-F</t>
  </si>
  <si>
    <t>3-34-1-F</t>
  </si>
  <si>
    <t>5-20-2-W</t>
  </si>
  <si>
    <t>5-33-2-W</t>
  </si>
  <si>
    <t>5-37-2-W</t>
  </si>
  <si>
    <t>5-49-2-W</t>
  </si>
  <si>
    <t>5-54-3-W</t>
  </si>
  <si>
    <t>Totals for Space Class: 3.94</t>
  </si>
  <si>
    <t>3-2-1-V</t>
  </si>
  <si>
    <t>3-C-0-V</t>
  </si>
  <si>
    <t>4-7-0-V</t>
  </si>
  <si>
    <t>5-4-1-V</t>
  </si>
  <si>
    <t>5-4-2-V</t>
  </si>
  <si>
    <t>5-5-1-V</t>
  </si>
  <si>
    <t>5-5-2-V</t>
  </si>
  <si>
    <t>5-6-1-V</t>
  </si>
  <si>
    <t>5-6-2-V</t>
  </si>
  <si>
    <t>5-7-0-V</t>
  </si>
  <si>
    <t>5-7-1-V</t>
  </si>
  <si>
    <t>5-7-2-V</t>
  </si>
  <si>
    <t>5-11-0-V</t>
  </si>
  <si>
    <t>5-69-0-V</t>
  </si>
  <si>
    <t>4-69-0-V</t>
  </si>
  <si>
    <t>3-61-1-V</t>
  </si>
  <si>
    <t>3-66-2-V</t>
  </si>
  <si>
    <t>4-75-1-V</t>
  </si>
  <si>
    <t>4-75-2-V</t>
  </si>
  <si>
    <t>Totals for Space Class: 3.95</t>
  </si>
  <si>
    <t>2-36-2-T</t>
  </si>
  <si>
    <t>2-34-1-T</t>
  </si>
  <si>
    <t>2-34-2-T</t>
  </si>
  <si>
    <t>3-20-3-T</t>
  </si>
  <si>
    <t>3-20-4-T</t>
  </si>
  <si>
    <t>Totals for Space Class: 4.13</t>
  </si>
  <si>
    <t>5-26-01-E</t>
  </si>
  <si>
    <t>02-23-1-T</t>
  </si>
  <si>
    <t>02-23-2-T</t>
  </si>
  <si>
    <t>1-27-1-T</t>
  </si>
  <si>
    <t>1-27-2-T</t>
  </si>
  <si>
    <t>1-32-1-T</t>
  </si>
  <si>
    <t>1-32-2-T</t>
  </si>
  <si>
    <t>2-26-1-Q</t>
  </si>
  <si>
    <t>Totals for Space Class: 4.14</t>
  </si>
  <si>
    <t>5-34-0-E</t>
  </si>
  <si>
    <t>Totals for Space Class: 4.16</t>
  </si>
  <si>
    <t>5-54-01-E</t>
  </si>
  <si>
    <t>Totals for Space Class: 4.21</t>
  </si>
  <si>
    <t>5-65-0-E</t>
  </si>
  <si>
    <t>Totals for Space Class: 4.23</t>
  </si>
  <si>
    <t>5-18-01-E</t>
  </si>
  <si>
    <t>5-45-01-E</t>
  </si>
  <si>
    <t>Totals for Space Class: 4.31</t>
  </si>
  <si>
    <t>1-32-0-Q</t>
  </si>
  <si>
    <t>02-40-2-Q</t>
  </si>
  <si>
    <t>1-26-1-C</t>
  </si>
  <si>
    <t>Totals for Space Class: 4.33</t>
  </si>
  <si>
    <t>4-15-0-E</t>
  </si>
  <si>
    <t>2-52-4-A</t>
  </si>
  <si>
    <t>Totals for Space Class: 4.34</t>
  </si>
  <si>
    <t>4-11-0-E</t>
  </si>
  <si>
    <t>Totals for Space Class: 4.35</t>
  </si>
  <si>
    <t>1-32-3-T</t>
  </si>
  <si>
    <t>1-47-1-T</t>
  </si>
  <si>
    <t>02-44-3-T</t>
  </si>
  <si>
    <t>01-37-2-T</t>
  </si>
  <si>
    <t>01-37-4-T</t>
  </si>
  <si>
    <t>01-38-2-T</t>
  </si>
  <si>
    <t>01-39-2-T</t>
  </si>
  <si>
    <t>01-40-2-T</t>
  </si>
  <si>
    <t>01-41-2-T</t>
  </si>
  <si>
    <t>01-42-2-T</t>
  </si>
  <si>
    <t>1-24-5-T</t>
  </si>
  <si>
    <t>1-41-1-T</t>
  </si>
  <si>
    <t>1-41-2-T</t>
  </si>
  <si>
    <t>1-45-2-T</t>
  </si>
  <si>
    <t>1-51-1-T</t>
  </si>
  <si>
    <t>2-11-4-T</t>
  </si>
  <si>
    <t>2-11-6-T</t>
  </si>
  <si>
    <t>2-13-2-T</t>
  </si>
  <si>
    <t>2-13-4-T</t>
  </si>
  <si>
    <t>02-37-1-Q</t>
  </si>
  <si>
    <t>01-36-1-Q</t>
  </si>
  <si>
    <t>01-36-2-Q</t>
  </si>
  <si>
    <t>1-18-2-Q</t>
  </si>
  <si>
    <t>1-28-1-Q</t>
  </si>
  <si>
    <t>2-11-2-Q</t>
  </si>
  <si>
    <t>1-30-1-T</t>
  </si>
  <si>
    <t>1-30-2-T</t>
  </si>
  <si>
    <t>3-25-2-T</t>
  </si>
  <si>
    <t>3-48-1-T</t>
  </si>
  <si>
    <t>3-46-1-T</t>
  </si>
  <si>
    <t>3-47-4-V</t>
  </si>
  <si>
    <t>Totals for Space Class: 4.36</t>
  </si>
  <si>
    <t>5.00</t>
  </si>
  <si>
    <t>01-40-1-U</t>
  </si>
  <si>
    <t>3-73-1-Q</t>
  </si>
  <si>
    <t>Totals for Space Class: 5.00</t>
  </si>
  <si>
    <t>3-45-0-Q</t>
  </si>
  <si>
    <t>3-54-0-Q</t>
  </si>
  <si>
    <t>Totals for Space Class: 5.2</t>
  </si>
  <si>
    <t>SANITY CHECK</t>
  </si>
  <si>
    <t>LCS 5</t>
  </si>
  <si>
    <t xml:space="preserve">LCS5 </t>
  </si>
  <si>
    <t>Installed PPwr</t>
  </si>
  <si>
    <t>Installed SSGPwr</t>
  </si>
  <si>
    <t>47ft  MLB</t>
  </si>
  <si>
    <t>87ft  CPB</t>
  </si>
  <si>
    <t>110ft  WPB  (Island Class)</t>
  </si>
  <si>
    <t>120ft  WPB  (Heritage Class)</t>
  </si>
  <si>
    <t>PGG</t>
  </si>
  <si>
    <t>PCG</t>
  </si>
  <si>
    <t>210ft  WMEC</t>
  </si>
  <si>
    <t>270ft  WMEC</t>
  </si>
  <si>
    <t>378ft  WHEC  (HAMILTON  CLASS)</t>
  </si>
  <si>
    <t>PRINCIPAL CHARACTERISTICS</t>
  </si>
  <si>
    <t>LOA (ft)</t>
  </si>
  <si>
    <t>LPP (ft)</t>
  </si>
  <si>
    <t>BOA (ft)</t>
  </si>
  <si>
    <t>Depth (ft)</t>
  </si>
  <si>
    <t>Draft (ft)</t>
  </si>
  <si>
    <t>Cu. No.</t>
  </si>
  <si>
    <t>Displacement, Light (LT)</t>
  </si>
  <si>
    <t>Displacement, full load (LT)</t>
  </si>
  <si>
    <t>COMPLEMENT</t>
  </si>
  <si>
    <t>Officer</t>
  </si>
  <si>
    <t>Enlisted</t>
  </si>
  <si>
    <t>Crew (Subtotal)</t>
  </si>
  <si>
    <t>Passenger</t>
  </si>
  <si>
    <t>*</t>
  </si>
  <si>
    <t>Scientist</t>
  </si>
  <si>
    <t xml:space="preserve">  *spare crew berths designated as</t>
  </si>
  <si>
    <t xml:space="preserve">   passenger accomodations</t>
  </si>
  <si>
    <r>
      <t>AREA SUMMARY (ft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</si>
  <si>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Hull</t>
  </si>
  <si>
    <t>SS</t>
  </si>
  <si>
    <t>1.0</t>
  </si>
  <si>
    <t>MILITARY  MISSION  PERFORMANCE</t>
  </si>
  <si>
    <t>1.1</t>
  </si>
  <si>
    <t xml:space="preserve">   Communication, Detection, Evaluation</t>
  </si>
  <si>
    <t>1.2</t>
  </si>
  <si>
    <t xml:space="preserve">   Weapons</t>
  </si>
  <si>
    <t>1.3</t>
  </si>
  <si>
    <t xml:space="preserve">   Aviation</t>
  </si>
  <si>
    <t>1.4</t>
  </si>
  <si>
    <t xml:space="preserve">   Amphibious Warfare</t>
  </si>
  <si>
    <t>1.5</t>
  </si>
  <si>
    <t xml:space="preserve">   Cargo Transport</t>
  </si>
  <si>
    <t>1.6</t>
  </si>
  <si>
    <t xml:space="preserve">   Flag</t>
  </si>
  <si>
    <t>1.7</t>
  </si>
  <si>
    <t xml:space="preserve">   Passenger Facilities</t>
  </si>
  <si>
    <t>1.8</t>
  </si>
  <si>
    <t xml:space="preserve">   Special Missions (Oceanographic Labs)</t>
  </si>
  <si>
    <t>SUB-TOTAL,  GROUP 1</t>
  </si>
  <si>
    <t>2.0</t>
  </si>
  <si>
    <t>SHIPS'S  PERSONNEL</t>
  </si>
  <si>
    <t>2.1</t>
  </si>
  <si>
    <t xml:space="preserve">   Living Spaces</t>
  </si>
  <si>
    <t>2.2</t>
  </si>
  <si>
    <t xml:space="preserve">   Supporting Functions</t>
  </si>
  <si>
    <t>2.3</t>
  </si>
  <si>
    <t xml:space="preserve">   Stowage</t>
  </si>
  <si>
    <t>2.4</t>
  </si>
  <si>
    <t xml:space="preserve">   Personnel Protection</t>
  </si>
  <si>
    <t>SUB-TOTAL,  GROUP 2</t>
  </si>
  <si>
    <t>3.0</t>
  </si>
  <si>
    <t>SHIP  OPERATION</t>
  </si>
  <si>
    <t>3.1</t>
  </si>
  <si>
    <t xml:space="preserve">   Control</t>
  </si>
  <si>
    <t>3.2</t>
  </si>
  <si>
    <t xml:space="preserve">   Main Propulsion Machinery</t>
  </si>
  <si>
    <t>3.3</t>
  </si>
  <si>
    <t xml:space="preserve">   Auxiliary Systems and Equipment</t>
  </si>
  <si>
    <t>3.4</t>
  </si>
  <si>
    <t xml:space="preserve">   Maintenance</t>
  </si>
  <si>
    <t>3.5</t>
  </si>
  <si>
    <t>3.6</t>
  </si>
  <si>
    <t xml:space="preserve">   Tankage</t>
  </si>
  <si>
    <t>3.7</t>
  </si>
  <si>
    <t xml:space="preserve">   Passageways and Access</t>
  </si>
  <si>
    <t>3.8</t>
  </si>
  <si>
    <t xml:space="preserve">   Unassigned</t>
  </si>
  <si>
    <t>3.9</t>
  </si>
  <si>
    <t xml:space="preserve">   Temporarily Unclassified</t>
  </si>
  <si>
    <t>SUB-TOTAL,  GROUP 3</t>
  </si>
  <si>
    <t>TOTAL,  GROUPS 1, 2, AND 3</t>
  </si>
  <si>
    <r>
      <t>VOLUME SUMMARY (ft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</si>
  <si>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SOURCE:</t>
  </si>
  <si>
    <t>USCG Dwg. No. 87CPB-601-001 Rev. A, Outboard Profile And General Arrangements</t>
  </si>
  <si>
    <t>Future Surface Combatant Volume Demands (BLA #7648)</t>
  </si>
  <si>
    <t>USCG Dwg. No. 618WMEC-085-151 Rev. A, Booklet of General Plans, dated 01/88</t>
  </si>
  <si>
    <t>Ship Data For Use In Concept Design, 378 ft High Endurance Cutter - Hamilton Class, dated 5/8/78</t>
  </si>
  <si>
    <t>WMEC270</t>
  </si>
  <si>
    <t>WMEC210</t>
  </si>
  <si>
    <t>MLB47</t>
  </si>
  <si>
    <t>CPB87</t>
  </si>
  <si>
    <t>WPB110</t>
  </si>
  <si>
    <t>WPB120</t>
  </si>
  <si>
    <t>WHEC378</t>
  </si>
  <si>
    <t>Totsl</t>
  </si>
  <si>
    <t>4.1</t>
  </si>
  <si>
    <t>4.3</t>
  </si>
  <si>
    <t>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</si>
</sst>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00"/>
    <numFmt numFmtId="165" formatCode="0.0_ "/>
    <numFmt numFmtId="166" formatCode="0_ "/>
    <numFmt numFmtId="167" formatCode="0.00_ "/>
    <numFmt numFmtId="168" formatCode="0.0"/>
    <numFmt numFmtId="169" formatCode="#,##0.0"/>
    <numFmt numFmtId="170" formatCode="0.0000"/>
    <numFmt numFmtId="171" formatCode="0.0%"/>
  </numFmts>
  <fonts count="2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Unicode MS"/>
    </font>
    <font>
      <sz val="12"/>
      <name val="Calibri"/>
      <charset val="134"/>
      <scheme val="minor"/>
    </font>
    <font>
      <sz val="12"/>
      <name val="Calibri"/>
      <family val="2"/>
      <scheme val="minor"/>
    </font>
    <font>
      <sz val="10"/>
      <name val="MS Sans Serif"/>
    </font>
    <font>
      <b/>
      <sz val="10"/>
      <name val="MS Sans Serif"/>
      <family val="2"/>
    </font>
    <font>
      <b/>
      <sz val="10"/>
      <name val="MS Sans Serif"/>
    </font>
    <font>
      <sz val="10"/>
      <name val="MS Sans Serif"/>
      <family val="2"/>
    </font>
    <font>
      <sz val="10"/>
      <name val="Arial"/>
    </font>
    <font>
      <b/>
      <i/>
      <sz val="10"/>
      <name val="Arial"/>
    </font>
    <font>
      <b/>
      <sz val="8"/>
      <name val="Arial"/>
    </font>
    <font>
      <b/>
      <vertAlign val="superscript"/>
      <sz val="12"/>
      <name val="Arial"/>
      <family val="2"/>
    </font>
    <font>
      <b/>
      <sz val="12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8"/>
      <color indexed="8"/>
      <name val="Times New Roman"/>
      <family val="1"/>
    </font>
    <font>
      <b/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9" fillId="0" borderId="0"/>
    <xf numFmtId="0" fontId="18" fillId="0" borderId="0"/>
    <xf numFmtId="0" fontId="17" fillId="0" borderId="0"/>
  </cellStyleXfs>
  <cellXfs count="433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6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indent="2"/>
    </xf>
    <xf numFmtId="0" fontId="2" fillId="0" borderId="0" xfId="0" applyFont="1" applyFill="1" applyAlignment="1">
      <alignment horizontal="left" vertical="center" indent="3"/>
    </xf>
    <xf numFmtId="0" fontId="2" fillId="0" borderId="0" xfId="0" applyFont="1" applyFill="1" applyAlignment="1">
      <alignment horizontal="left" vertical="center" indent="4"/>
    </xf>
    <xf numFmtId="0" fontId="2" fillId="0" borderId="0" xfId="0" applyFont="1" applyFill="1" applyAlignment="1">
      <alignment horizontal="left" vertical="center" indent="6"/>
    </xf>
    <xf numFmtId="0" fontId="2" fillId="0" borderId="0" xfId="0" applyFont="1" applyFill="1" applyAlignment="1">
      <alignment horizontal="left" vertical="center" indent="5"/>
    </xf>
    <xf numFmtId="0" fontId="0" fillId="0" borderId="0" xfId="0" applyFill="1"/>
    <xf numFmtId="0" fontId="1" fillId="0" borderId="0" xfId="0" applyFon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/>
    <xf numFmtId="164" fontId="3" fillId="3" borderId="0" xfId="0" applyNumberFormat="1" applyFont="1" applyFill="1" applyAlignment="1">
      <alignment horizontal="right"/>
    </xf>
    <xf numFmtId="165" fontId="3" fillId="2" borderId="0" xfId="0" applyNumberFormat="1" applyFont="1" applyFill="1"/>
    <xf numFmtId="166" fontId="3" fillId="2" borderId="0" xfId="0" applyNumberFormat="1" applyFont="1" applyFill="1"/>
    <xf numFmtId="167" fontId="3" fillId="2" borderId="0" xfId="0" applyNumberFormat="1" applyFont="1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3" fillId="0" borderId="0" xfId="0" applyNumberFormat="1" applyFont="1" applyFill="1" applyAlignment="1">
      <alignment horizontal="right"/>
    </xf>
    <xf numFmtId="165" fontId="3" fillId="0" borderId="0" xfId="0" applyNumberFormat="1" applyFont="1" applyFill="1"/>
    <xf numFmtId="166" fontId="3" fillId="0" borderId="0" xfId="0" applyNumberFormat="1" applyFont="1" applyFill="1"/>
    <xf numFmtId="167" fontId="3" fillId="0" borderId="0" xfId="0" applyNumberFormat="1" applyFont="1" applyFill="1"/>
    <xf numFmtId="0" fontId="5" fillId="0" borderId="0" xfId="1"/>
    <xf numFmtId="0" fontId="6" fillId="0" borderId="0" xfId="1" applyFont="1" applyBorder="1"/>
    <xf numFmtId="0" fontId="5" fillId="0" borderId="0" xfId="1" applyBorder="1"/>
    <xf numFmtId="3" fontId="7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5" fillId="0" borderId="0" xfId="1" quotePrefix="1" applyNumberFormat="1" applyBorder="1" applyAlignment="1">
      <alignment horizontal="center"/>
    </xf>
    <xf numFmtId="3" fontId="5" fillId="0" borderId="0" xfId="1" quotePrefix="1" applyNumberFormat="1" applyFill="1" applyBorder="1" applyAlignment="1">
      <alignment horizontal="center"/>
    </xf>
    <xf numFmtId="0" fontId="5" fillId="0" borderId="0" xfId="1" quotePrefix="1" applyNumberFormat="1" applyBorder="1" applyAlignment="1">
      <alignment horizontal="left"/>
    </xf>
    <xf numFmtId="0" fontId="5" fillId="0" borderId="0" xfId="1" quotePrefix="1" applyNumberFormat="1" applyBorder="1"/>
    <xf numFmtId="3" fontId="7" fillId="0" borderId="0" xfId="1" quotePrefix="1" applyNumberFormat="1" applyFont="1" applyFill="1" applyBorder="1" applyAlignment="1">
      <alignment horizontal="center"/>
    </xf>
    <xf numFmtId="0" fontId="7" fillId="0" borderId="0" xfId="1" quotePrefix="1" applyNumberFormat="1" applyFont="1" applyBorder="1" applyAlignment="1">
      <alignment horizontal="right"/>
    </xf>
    <xf numFmtId="0" fontId="5" fillId="0" borderId="0" xfId="1" applyBorder="1" applyAlignment="1">
      <alignment horizontal="center"/>
    </xf>
    <xf numFmtId="0" fontId="5" fillId="0" borderId="0" xfId="1" applyNumberFormat="1" applyBorder="1"/>
    <xf numFmtId="0" fontId="7" fillId="0" borderId="0" xfId="1" quotePrefix="1" applyNumberFormat="1" applyFont="1" applyBorder="1"/>
    <xf numFmtId="0" fontId="5" fillId="0" borderId="2" xfId="1" quotePrefix="1" applyNumberFormat="1" applyBorder="1" applyAlignment="1">
      <alignment horizontal="center"/>
    </xf>
    <xf numFmtId="3" fontId="7" fillId="0" borderId="2" xfId="1" quotePrefix="1" applyNumberFormat="1" applyFont="1" applyFill="1" applyBorder="1" applyAlignment="1">
      <alignment horizontal="center"/>
    </xf>
    <xf numFmtId="0" fontId="7" fillId="0" borderId="2" xfId="1" quotePrefix="1" applyNumberFormat="1" applyFont="1" applyBorder="1" applyAlignment="1">
      <alignment horizontal="right"/>
    </xf>
    <xf numFmtId="0" fontId="5" fillId="0" borderId="2" xfId="1" quotePrefix="1" applyNumberFormat="1" applyBorder="1"/>
    <xf numFmtId="3" fontId="5" fillId="0" borderId="2" xfId="1" quotePrefix="1" applyNumberFormat="1" applyFill="1" applyBorder="1" applyAlignment="1">
      <alignment horizontal="center"/>
    </xf>
    <xf numFmtId="0" fontId="5" fillId="0" borderId="2" xfId="1" quotePrefix="1" applyNumberFormat="1" applyBorder="1" applyAlignment="1">
      <alignment horizontal="left"/>
    </xf>
    <xf numFmtId="0" fontId="5" fillId="0" borderId="2" xfId="1" applyBorder="1" applyAlignment="1">
      <alignment horizontal="center"/>
    </xf>
    <xf numFmtId="0" fontId="5" fillId="0" borderId="2" xfId="1" applyNumberFormat="1" applyBorder="1"/>
    <xf numFmtId="0" fontId="5" fillId="0" borderId="3" xfId="1" quotePrefix="1" applyNumberFormat="1" applyBorder="1" applyAlignment="1">
      <alignment horizontal="center"/>
    </xf>
    <xf numFmtId="3" fontId="5" fillId="0" borderId="3" xfId="1" quotePrefix="1" applyNumberFormat="1" applyFill="1" applyBorder="1" applyAlignment="1">
      <alignment horizontal="center"/>
    </xf>
    <xf numFmtId="0" fontId="5" fillId="0" borderId="3" xfId="1" quotePrefix="1" applyNumberFormat="1" applyBorder="1" applyAlignment="1">
      <alignment horizontal="left"/>
    </xf>
    <xf numFmtId="0" fontId="5" fillId="0" borderId="3" xfId="1" quotePrefix="1" applyNumberFormat="1" applyBorder="1"/>
    <xf numFmtId="0" fontId="5" fillId="0" borderId="4" xfId="1" quotePrefix="1" applyNumberFormat="1" applyBorder="1" applyAlignment="1">
      <alignment horizontal="center"/>
    </xf>
    <xf numFmtId="3" fontId="5" fillId="0" borderId="4" xfId="1" quotePrefix="1" applyNumberFormat="1" applyFill="1" applyBorder="1" applyAlignment="1">
      <alignment horizontal="center"/>
    </xf>
    <xf numFmtId="0" fontId="5" fillId="0" borderId="4" xfId="1" quotePrefix="1" applyNumberFormat="1" applyBorder="1" applyAlignment="1">
      <alignment horizontal="left"/>
    </xf>
    <xf numFmtId="0" fontId="5" fillId="0" borderId="4" xfId="1" quotePrefix="1" applyNumberFormat="1" applyBorder="1"/>
    <xf numFmtId="0" fontId="7" fillId="0" borderId="2" xfId="1" quotePrefix="1" applyNumberFormat="1" applyFont="1" applyBorder="1" applyAlignment="1">
      <alignment horizontal="left"/>
    </xf>
    <xf numFmtId="0" fontId="5" fillId="0" borderId="2" xfId="1" quotePrefix="1" applyNumberFormat="1" applyFill="1" applyBorder="1"/>
    <xf numFmtId="0" fontId="5" fillId="0" borderId="2" xfId="1" quotePrefix="1" applyNumberFormat="1" applyFill="1" applyBorder="1" applyAlignment="1">
      <alignment horizontal="center"/>
    </xf>
    <xf numFmtId="0" fontId="5" fillId="0" borderId="2" xfId="1" quotePrefix="1" applyNumberFormat="1" applyFill="1" applyBorder="1" applyAlignment="1">
      <alignment horizontal="left"/>
    </xf>
    <xf numFmtId="0" fontId="5" fillId="0" borderId="4" xfId="1" applyNumberFormat="1" applyBorder="1"/>
    <xf numFmtId="0" fontId="7" fillId="0" borderId="4" xfId="1" quotePrefix="1" applyNumberFormat="1" applyFont="1" applyBorder="1" applyAlignment="1">
      <alignment horizontal="left"/>
    </xf>
    <xf numFmtId="3" fontId="7" fillId="0" borderId="4" xfId="1" quotePrefix="1" applyNumberFormat="1" applyFont="1" applyFill="1" applyBorder="1" applyAlignment="1">
      <alignment horizontal="center"/>
    </xf>
    <xf numFmtId="0" fontId="7" fillId="0" borderId="4" xfId="1" quotePrefix="1" applyNumberFormat="1" applyFont="1" applyBorder="1" applyAlignment="1">
      <alignment horizontal="right"/>
    </xf>
    <xf numFmtId="0" fontId="8" fillId="0" borderId="2" xfId="1" quotePrefix="1" applyNumberFormat="1" applyFont="1" applyBorder="1" applyAlignment="1">
      <alignment horizontal="left"/>
    </xf>
    <xf numFmtId="0" fontId="7" fillId="0" borderId="3" xfId="1" quotePrefix="1" applyNumberFormat="1" applyFont="1" applyBorder="1" applyAlignment="1">
      <alignment horizontal="left"/>
    </xf>
    <xf numFmtId="3" fontId="7" fillId="0" borderId="3" xfId="1" quotePrefix="1" applyNumberFormat="1" applyFont="1" applyFill="1" applyBorder="1" applyAlignment="1">
      <alignment horizontal="center"/>
    </xf>
    <xf numFmtId="0" fontId="7" fillId="0" borderId="3" xfId="1" quotePrefix="1" applyNumberFormat="1" applyFont="1" applyBorder="1" applyAlignment="1">
      <alignment horizontal="right"/>
    </xf>
    <xf numFmtId="0" fontId="5" fillId="0" borderId="2" xfId="1" applyNumberFormat="1" applyFill="1" applyBorder="1"/>
    <xf numFmtId="0" fontId="5" fillId="0" borderId="2" xfId="1" applyNumberFormat="1" applyBorder="1" applyAlignment="1">
      <alignment horizontal="center"/>
    </xf>
    <xf numFmtId="0" fontId="5" fillId="0" borderId="4" xfId="1" applyNumberFormat="1" applyBorder="1" applyAlignment="1">
      <alignment horizontal="center"/>
    </xf>
    <xf numFmtId="0" fontId="5" fillId="0" borderId="4" xfId="1" quotePrefix="1" applyNumberFormat="1" applyFill="1" applyBorder="1" applyAlignment="1">
      <alignment horizontal="center"/>
    </xf>
    <xf numFmtId="0" fontId="8" fillId="0" borderId="4" xfId="1" quotePrefix="1" applyNumberFormat="1" applyFont="1" applyBorder="1" applyAlignment="1">
      <alignment horizontal="center"/>
    </xf>
    <xf numFmtId="0" fontId="7" fillId="0" borderId="4" xfId="1" quotePrefix="1" applyNumberFormat="1" applyFont="1" applyBorder="1" applyAlignment="1">
      <alignment horizontal="center"/>
    </xf>
    <xf numFmtId="0" fontId="5" fillId="0" borderId="5" xfId="1" applyNumberFormat="1" applyBorder="1" applyAlignment="1">
      <alignment horizontal="center"/>
    </xf>
    <xf numFmtId="0" fontId="5" fillId="0" borderId="5" xfId="1" quotePrefix="1" applyNumberFormat="1" applyFill="1" applyBorder="1" applyAlignment="1">
      <alignment horizontal="center"/>
    </xf>
    <xf numFmtId="0" fontId="5" fillId="0" borderId="5" xfId="1" quotePrefix="1" applyNumberFormat="1" applyBorder="1" applyAlignment="1">
      <alignment horizontal="center"/>
    </xf>
    <xf numFmtId="0" fontId="8" fillId="0" borderId="5" xfId="1" quotePrefix="1" applyNumberFormat="1" applyFont="1" applyBorder="1" applyAlignment="1">
      <alignment horizontal="center"/>
    </xf>
    <xf numFmtId="3" fontId="5" fillId="0" borderId="0" xfId="1" applyNumberFormat="1"/>
    <xf numFmtId="164" fontId="5" fillId="0" borderId="0" xfId="1" applyNumberFormat="1"/>
    <xf numFmtId="3" fontId="5" fillId="0" borderId="0" xfId="1" applyNumberFormat="1" applyBorder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8" fontId="0" fillId="0" borderId="0" xfId="0" applyNumberFormat="1" applyAlignment="1">
      <alignment horizontal="left" indent="3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3" fontId="0" fillId="0" borderId="0" xfId="0" applyNumberFormat="1" applyAlignment="1">
      <alignment horizontal="left" indent="2"/>
    </xf>
    <xf numFmtId="3" fontId="0" fillId="0" borderId="0" xfId="0" applyNumberFormat="1" applyAlignment="1">
      <alignment horizontal="left" indent="3"/>
    </xf>
    <xf numFmtId="169" fontId="0" fillId="0" borderId="0" xfId="0" applyNumberFormat="1" applyAlignment="1">
      <alignment horizontal="left" indent="1"/>
    </xf>
    <xf numFmtId="168" fontId="5" fillId="0" borderId="0" xfId="1" applyNumberFormat="1"/>
    <xf numFmtId="169" fontId="0" fillId="0" borderId="0" xfId="0" applyNumberFormat="1" applyAlignment="1">
      <alignment horizontal="left" indent="2"/>
    </xf>
    <xf numFmtId="169" fontId="0" fillId="0" borderId="0" xfId="0" applyNumberFormat="1" applyAlignment="1">
      <alignment horizontal="left" indent="3"/>
    </xf>
    <xf numFmtId="168" fontId="0" fillId="0" borderId="0" xfId="0" applyNumberFormat="1" applyAlignment="1">
      <alignment horizontal="left"/>
    </xf>
    <xf numFmtId="168" fontId="0" fillId="0" borderId="0" xfId="0" applyNumberFormat="1" applyAlignment="1">
      <alignment horizontal="left" indent="1"/>
    </xf>
    <xf numFmtId="168" fontId="0" fillId="0" borderId="0" xfId="0" applyNumberFormat="1" applyAlignment="1">
      <alignment horizontal="left" indent="2"/>
    </xf>
    <xf numFmtId="170" fontId="5" fillId="0" borderId="0" xfId="1" applyNumberFormat="1"/>
    <xf numFmtId="168" fontId="0" fillId="0" borderId="0" xfId="0" applyNumberFormat="1" applyAlignment="1">
      <alignment horizontal="left" indent="4"/>
    </xf>
    <xf numFmtId="169" fontId="0" fillId="0" borderId="0" xfId="0" applyNumberFormat="1" applyAlignment="1">
      <alignment horizontal="left" indent="4"/>
    </xf>
    <xf numFmtId="169" fontId="0" fillId="0" borderId="0" xfId="0" applyNumberFormat="1" applyAlignment="1">
      <alignment horizontal="left" indent="5"/>
    </xf>
    <xf numFmtId="0" fontId="5" fillId="4" borderId="0" xfId="1" applyFill="1"/>
    <xf numFmtId="168" fontId="5" fillId="0" borderId="0" xfId="1" applyNumberFormat="1" applyAlignment="1">
      <alignment horizontal="left"/>
    </xf>
    <xf numFmtId="2" fontId="5" fillId="0" borderId="0" xfId="1" applyNumberFormat="1" applyAlignment="1">
      <alignment horizontal="left" indent="2"/>
    </xf>
    <xf numFmtId="0" fontId="5" fillId="0" borderId="0" xfId="1" applyAlignment="1">
      <alignment horizontal="left" indent="3"/>
    </xf>
    <xf numFmtId="169" fontId="5" fillId="0" borderId="0" xfId="1" quotePrefix="1" applyNumberFormat="1" applyBorder="1" applyAlignment="1">
      <alignment horizontal="left"/>
    </xf>
    <xf numFmtId="0" fontId="5" fillId="0" borderId="0" xfId="1" applyBorder="1" applyAlignment="1">
      <alignment horizontal="left"/>
    </xf>
    <xf numFmtId="168" fontId="5" fillId="0" borderId="0" xfId="1" applyNumberFormat="1" applyBorder="1"/>
    <xf numFmtId="0" fontId="0" fillId="5" borderId="0" xfId="0" applyFill="1"/>
    <xf numFmtId="0" fontId="0" fillId="6" borderId="0" xfId="0" applyFill="1" applyAlignment="1">
      <alignment horizontal="left"/>
    </xf>
    <xf numFmtId="0" fontId="0" fillId="6" borderId="0" xfId="0" applyFill="1"/>
    <xf numFmtId="0" fontId="0" fillId="7" borderId="0" xfId="0" applyFill="1" applyAlignment="1">
      <alignment horizontal="left"/>
    </xf>
    <xf numFmtId="0" fontId="0" fillId="7" borderId="0" xfId="0" applyFill="1"/>
    <xf numFmtId="0" fontId="0" fillId="8" borderId="0" xfId="0" applyFill="1" applyAlignment="1">
      <alignment horizontal="left" indent="1"/>
    </xf>
    <xf numFmtId="0" fontId="0" fillId="8" borderId="0" xfId="0" applyFill="1" applyAlignment="1">
      <alignment horizontal="left"/>
    </xf>
    <xf numFmtId="0" fontId="0" fillId="8" borderId="0" xfId="0" applyFill="1"/>
    <xf numFmtId="0" fontId="0" fillId="6" borderId="0" xfId="0" applyFill="1" applyAlignment="1">
      <alignment horizontal="left" indent="2"/>
    </xf>
    <xf numFmtId="0" fontId="0" fillId="9" borderId="0" xfId="0" applyFill="1"/>
    <xf numFmtId="0" fontId="0" fillId="5" borderId="0" xfId="0" applyFill="1" applyAlignment="1">
      <alignment horizontal="left" indent="3"/>
    </xf>
    <xf numFmtId="2" fontId="0" fillId="5" borderId="0" xfId="0" applyNumberFormat="1" applyFill="1" applyAlignment="1">
      <alignment horizontal="left" indent="3"/>
    </xf>
    <xf numFmtId="0" fontId="0" fillId="9" borderId="0" xfId="0" applyFill="1" applyAlignment="1">
      <alignment horizontal="left" indent="4"/>
    </xf>
    <xf numFmtId="2" fontId="0" fillId="9" borderId="0" xfId="0" applyNumberFormat="1" applyFill="1" applyAlignment="1">
      <alignment horizontal="left" indent="4"/>
    </xf>
    <xf numFmtId="0" fontId="0" fillId="10" borderId="0" xfId="0" applyFill="1" applyAlignment="1">
      <alignment horizontal="left" indent="5"/>
    </xf>
    <xf numFmtId="2" fontId="0" fillId="10" borderId="0" xfId="0" applyNumberFormat="1" applyFill="1" applyAlignment="1">
      <alignment horizontal="left" indent="5"/>
    </xf>
    <xf numFmtId="0" fontId="0" fillId="10" borderId="0" xfId="0" applyFill="1"/>
    <xf numFmtId="2" fontId="0" fillId="6" borderId="0" xfId="0" applyNumberFormat="1" applyFill="1" applyAlignment="1">
      <alignment horizontal="left" indent="2"/>
    </xf>
    <xf numFmtId="2" fontId="0" fillId="8" borderId="0" xfId="0" applyNumberFormat="1" applyFill="1" applyAlignment="1">
      <alignment horizontal="left" indent="1"/>
    </xf>
    <xf numFmtId="2" fontId="0" fillId="7" borderId="0" xfId="0" applyNumberFormat="1" applyFill="1"/>
    <xf numFmtId="2" fontId="0" fillId="8" borderId="0" xfId="0" applyNumberFormat="1" applyFill="1"/>
    <xf numFmtId="2" fontId="0" fillId="6" borderId="0" xfId="0" applyNumberFormat="1" applyFill="1"/>
    <xf numFmtId="2" fontId="0" fillId="5" borderId="0" xfId="0" applyNumberFormat="1" applyFill="1"/>
    <xf numFmtId="2" fontId="0" fillId="10" borderId="0" xfId="0" applyNumberFormat="1" applyFill="1"/>
    <xf numFmtId="2" fontId="0" fillId="9" borderId="0" xfId="0" applyNumberFormat="1" applyFill="1"/>
    <xf numFmtId="2" fontId="0" fillId="0" borderId="0" xfId="0" applyNumberFormat="1"/>
    <xf numFmtId="2" fontId="0" fillId="7" borderId="0" xfId="0" applyNumberFormat="1" applyFill="1" applyAlignment="1">
      <alignment horizontal="left"/>
    </xf>
    <xf numFmtId="0" fontId="0" fillId="0" borderId="0" xfId="0" applyAlignment="1">
      <alignment horizontal="center"/>
    </xf>
    <xf numFmtId="2" fontId="0" fillId="6" borderId="0" xfId="0" applyNumberFormat="1" applyFill="1" applyAlignment="1">
      <alignment horizontal="left"/>
    </xf>
    <xf numFmtId="0" fontId="0" fillId="0" borderId="0" xfId="0" applyAlignment="1"/>
    <xf numFmtId="0" fontId="0" fillId="0" borderId="0" xfId="0" applyFill="1" applyAlignment="1">
      <alignment horizontal="left"/>
    </xf>
    <xf numFmtId="0" fontId="10" fillId="0" borderId="0" xfId="2" applyFont="1" applyAlignment="1">
      <alignment vertical="center"/>
    </xf>
    <xf numFmtId="0" fontId="11" fillId="0" borderId="7" xfId="2" applyFont="1" applyFill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64" fontId="9" fillId="0" borderId="8" xfId="2" applyNumberFormat="1" applyFill="1" applyBorder="1" applyAlignment="1">
      <alignment horizontal="center" vertical="center"/>
    </xf>
    <xf numFmtId="0" fontId="9" fillId="0" borderId="9" xfId="2" applyFill="1" applyBorder="1" applyAlignment="1">
      <alignment vertical="center"/>
    </xf>
    <xf numFmtId="0" fontId="9" fillId="0" borderId="9" xfId="2" applyFill="1" applyBorder="1" applyAlignment="1">
      <alignment horizontal="center" vertical="center"/>
    </xf>
    <xf numFmtId="2" fontId="9" fillId="0" borderId="9" xfId="2" applyNumberFormat="1" applyBorder="1" applyAlignment="1">
      <alignment horizontal="center" vertical="center"/>
    </xf>
    <xf numFmtId="0" fontId="9" fillId="0" borderId="9" xfId="2" applyBorder="1" applyAlignment="1">
      <alignment horizontal="center"/>
    </xf>
    <xf numFmtId="0" fontId="9" fillId="0" borderId="10" xfId="2" applyBorder="1"/>
    <xf numFmtId="0" fontId="9" fillId="0" borderId="0" xfId="2"/>
    <xf numFmtId="164" fontId="9" fillId="0" borderId="11" xfId="2" applyNumberFormat="1" applyFill="1" applyBorder="1" applyAlignment="1">
      <alignment horizontal="center" vertical="center"/>
    </xf>
    <xf numFmtId="0" fontId="9" fillId="0" borderId="2" xfId="2" applyFill="1" applyBorder="1" applyAlignment="1">
      <alignment vertical="center"/>
    </xf>
    <xf numFmtId="0" fontId="9" fillId="0" borderId="2" xfId="2" applyFill="1" applyBorder="1" applyAlignment="1">
      <alignment horizontal="center" vertical="center"/>
    </xf>
    <xf numFmtId="2" fontId="9" fillId="0" borderId="2" xfId="2" applyNumberFormat="1" applyBorder="1" applyAlignment="1">
      <alignment horizontal="center" vertical="center"/>
    </xf>
    <xf numFmtId="0" fontId="9" fillId="0" borderId="2" xfId="2" applyBorder="1" applyAlignment="1">
      <alignment horizontal="center"/>
    </xf>
    <xf numFmtId="0" fontId="9" fillId="0" borderId="12" xfId="2" applyBorder="1"/>
    <xf numFmtId="164" fontId="9" fillId="0" borderId="11" xfId="2" applyNumberFormat="1" applyBorder="1" applyAlignment="1">
      <alignment horizontal="center" vertical="center"/>
    </xf>
    <xf numFmtId="0" fontId="9" fillId="0" borderId="2" xfId="2" applyBorder="1" applyAlignment="1">
      <alignment vertical="center"/>
    </xf>
    <xf numFmtId="49" fontId="9" fillId="0" borderId="2" xfId="2" applyNumberFormat="1" applyBorder="1" applyAlignment="1">
      <alignment horizontal="center" vertical="center"/>
    </xf>
    <xf numFmtId="0" fontId="9" fillId="0" borderId="2" xfId="2" applyBorder="1" applyAlignment="1">
      <alignment horizontal="center" vertical="center"/>
    </xf>
    <xf numFmtId="49" fontId="9" fillId="0" borderId="2" xfId="2" applyNumberFormat="1" applyFill="1" applyBorder="1" applyAlignment="1">
      <alignment horizontal="center" vertical="center"/>
    </xf>
    <xf numFmtId="0" fontId="9" fillId="0" borderId="2" xfId="2" applyFill="1" applyBorder="1" applyAlignment="1">
      <alignment horizontal="center"/>
    </xf>
    <xf numFmtId="0" fontId="9" fillId="0" borderId="12" xfId="2" applyFill="1" applyBorder="1"/>
    <xf numFmtId="0" fontId="9" fillId="0" borderId="11" xfId="2" applyFill="1" applyBorder="1" applyAlignment="1">
      <alignment horizontal="center" vertical="center"/>
    </xf>
    <xf numFmtId="0" fontId="9" fillId="0" borderId="0" xfId="2" applyBorder="1"/>
    <xf numFmtId="0" fontId="9" fillId="0" borderId="0" xfId="2" applyNumberFormat="1" applyBorder="1" applyAlignment="1">
      <alignment horizontal="left" wrapText="1"/>
    </xf>
    <xf numFmtId="164" fontId="9" fillId="0" borderId="11" xfId="2" applyNumberFormat="1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/>
    </xf>
    <xf numFmtId="0" fontId="9" fillId="0" borderId="11" xfId="2" applyBorder="1" applyAlignment="1">
      <alignment horizontal="center" vertical="center"/>
    </xf>
    <xf numFmtId="164" fontId="9" fillId="0" borderId="13" xfId="2" applyNumberFormat="1" applyFill="1" applyBorder="1" applyAlignment="1">
      <alignment horizontal="center" vertical="center"/>
    </xf>
    <xf numFmtId="0" fontId="9" fillId="0" borderId="14" xfId="2" applyFill="1" applyBorder="1" applyAlignment="1">
      <alignment vertical="center"/>
    </xf>
    <xf numFmtId="0" fontId="9" fillId="0" borderId="14" xfId="2" applyFill="1" applyBorder="1" applyAlignment="1">
      <alignment horizontal="center" vertical="center"/>
    </xf>
    <xf numFmtId="2" fontId="9" fillId="0" borderId="14" xfId="2" applyNumberFormat="1" applyBorder="1" applyAlignment="1">
      <alignment horizontal="center" vertical="center"/>
    </xf>
    <xf numFmtId="0" fontId="9" fillId="0" borderId="14" xfId="2" applyBorder="1" applyAlignment="1">
      <alignment horizontal="center"/>
    </xf>
    <xf numFmtId="0" fontId="9" fillId="0" borderId="15" xfId="2" applyBorder="1"/>
    <xf numFmtId="0" fontId="14" fillId="0" borderId="16" xfId="2" applyNumberFormat="1" applyFont="1" applyFill="1" applyBorder="1" applyAlignment="1">
      <alignment horizontal="left" vertical="center" wrapText="1"/>
    </xf>
    <xf numFmtId="2" fontId="16" fillId="11" borderId="7" xfId="2" applyNumberFormat="1" applyFont="1" applyFill="1" applyBorder="1" applyAlignment="1">
      <alignment horizontal="center" vertical="center" wrapText="1"/>
    </xf>
    <xf numFmtId="2" fontId="16" fillId="11" borderId="18" xfId="2" applyNumberFormat="1" applyFont="1" applyFill="1" applyBorder="1" applyAlignment="1">
      <alignment horizontal="center" vertical="center" wrapText="1"/>
    </xf>
    <xf numFmtId="2" fontId="14" fillId="0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ill="1" applyBorder="1"/>
    <xf numFmtId="0" fontId="9" fillId="0" borderId="0" xfId="2" applyFill="1" applyBorder="1"/>
    <xf numFmtId="0" fontId="9" fillId="0" borderId="0" xfId="2" applyFill="1" applyBorder="1" applyAlignment="1">
      <alignment horizontal="center"/>
    </xf>
    <xf numFmtId="164" fontId="9" fillId="0" borderId="0" xfId="2" applyNumberFormat="1" applyBorder="1"/>
    <xf numFmtId="2" fontId="9" fillId="0" borderId="0" xfId="2" applyNumberFormat="1" applyFill="1" applyBorder="1" applyAlignment="1">
      <alignment horizontal="center" vertical="center"/>
    </xf>
    <xf numFmtId="0" fontId="9" fillId="0" borderId="0" xfId="2" applyBorder="1" applyAlignment="1">
      <alignment horizontal="center"/>
    </xf>
    <xf numFmtId="0" fontId="14" fillId="0" borderId="0" xfId="2" applyNumberFormat="1" applyFont="1" applyFill="1" applyBorder="1" applyAlignment="1">
      <alignment horizontal="left" vertical="center" wrapText="1"/>
    </xf>
    <xf numFmtId="0" fontId="17" fillId="0" borderId="0" xfId="2" applyFont="1" applyAlignment="1">
      <alignment horizontal="left" wrapText="1"/>
    </xf>
    <xf numFmtId="0" fontId="19" fillId="0" borderId="0" xfId="3" applyNumberFormat="1" applyFont="1" applyFill="1" applyAlignment="1">
      <alignment horizontal="center" vertical="center"/>
    </xf>
    <xf numFmtId="4" fontId="19" fillId="0" borderId="0" xfId="3" applyNumberFormat="1" applyFont="1" applyFill="1" applyAlignment="1">
      <alignment horizontal="center" vertical="center"/>
    </xf>
    <xf numFmtId="4" fontId="19" fillId="0" borderId="0" xfId="3" applyNumberFormat="1" applyFont="1" applyFill="1" applyAlignment="1">
      <alignment horizontal="left" vertical="center"/>
    </xf>
    <xf numFmtId="3" fontId="19" fillId="0" borderId="0" xfId="3" applyNumberFormat="1" applyFont="1" applyFill="1" applyAlignment="1">
      <alignment horizontal="center" vertical="center"/>
    </xf>
    <xf numFmtId="168" fontId="19" fillId="0" borderId="0" xfId="3" applyNumberFormat="1" applyFont="1" applyFill="1" applyAlignment="1">
      <alignment horizontal="center" vertical="center"/>
    </xf>
    <xf numFmtId="0" fontId="20" fillId="0" borderId="2" xfId="3" applyNumberFormat="1" applyFont="1" applyFill="1" applyBorder="1" applyAlignment="1">
      <alignment horizontal="center" vertical="center"/>
    </xf>
    <xf numFmtId="4" fontId="20" fillId="0" borderId="2" xfId="3" applyNumberFormat="1" applyFont="1" applyFill="1" applyBorder="1" applyAlignment="1">
      <alignment horizontal="center" vertical="center" wrapText="1"/>
    </xf>
    <xf numFmtId="4" fontId="20" fillId="0" borderId="2" xfId="3" applyNumberFormat="1" applyFont="1" applyFill="1" applyBorder="1" applyAlignment="1">
      <alignment horizontal="left" vertical="center"/>
    </xf>
    <xf numFmtId="4" fontId="20" fillId="0" borderId="2" xfId="3" applyNumberFormat="1" applyFont="1" applyFill="1" applyBorder="1" applyAlignment="1">
      <alignment horizontal="center" vertical="center"/>
    </xf>
    <xf numFmtId="3" fontId="20" fillId="0" borderId="2" xfId="3" applyNumberFormat="1" applyFont="1" applyFill="1" applyBorder="1" applyAlignment="1">
      <alignment horizontal="center" vertical="center" wrapText="1"/>
    </xf>
    <xf numFmtId="168" fontId="20" fillId="0" borderId="2" xfId="3" applyNumberFormat="1" applyFont="1" applyFill="1" applyBorder="1" applyAlignment="1">
      <alignment horizontal="center" vertical="center" wrapText="1"/>
    </xf>
    <xf numFmtId="0" fontId="19" fillId="0" borderId="2" xfId="3" applyNumberFormat="1" applyFont="1" applyFill="1" applyBorder="1" applyAlignment="1">
      <alignment horizontal="center" vertical="center"/>
    </xf>
    <xf numFmtId="0" fontId="19" fillId="0" borderId="2" xfId="3" applyNumberFormat="1" applyFont="1" applyFill="1" applyBorder="1" applyAlignment="1">
      <alignment horizontal="left" vertical="center"/>
    </xf>
    <xf numFmtId="3" fontId="19" fillId="0" borderId="2" xfId="3" applyNumberFormat="1" applyFont="1" applyFill="1" applyBorder="1" applyAlignment="1">
      <alignment horizontal="center" vertical="center"/>
    </xf>
    <xf numFmtId="169" fontId="19" fillId="0" borderId="2" xfId="3" applyNumberFormat="1" applyFont="1" applyFill="1" applyBorder="1" applyAlignment="1">
      <alignment horizontal="center" vertical="center"/>
    </xf>
    <xf numFmtId="3" fontId="20" fillId="0" borderId="2" xfId="3" applyNumberFormat="1" applyFont="1" applyFill="1" applyBorder="1" applyAlignment="1">
      <alignment horizontal="center" vertical="center"/>
    </xf>
    <xf numFmtId="169" fontId="20" fillId="0" borderId="2" xfId="3" applyNumberFormat="1" applyFont="1" applyFill="1" applyBorder="1" applyAlignment="1">
      <alignment horizontal="center" vertical="center"/>
    </xf>
    <xf numFmtId="0" fontId="19" fillId="0" borderId="2" xfId="3" applyNumberFormat="1" applyFont="1" applyFill="1" applyBorder="1" applyAlignment="1">
      <alignment vertical="center"/>
    </xf>
    <xf numFmtId="4" fontId="19" fillId="0" borderId="2" xfId="3" applyNumberFormat="1" applyFont="1" applyFill="1" applyBorder="1" applyAlignment="1">
      <alignment horizontal="center" vertical="center"/>
    </xf>
    <xf numFmtId="4" fontId="19" fillId="0" borderId="2" xfId="3" applyNumberFormat="1" applyFont="1" applyFill="1" applyBorder="1" applyAlignment="1">
      <alignment horizontal="left" vertical="center"/>
    </xf>
    <xf numFmtId="4" fontId="19" fillId="0" borderId="0" xfId="3" applyNumberFormat="1" applyFont="1" applyFill="1" applyBorder="1" applyAlignment="1">
      <alignment horizontal="center" vertical="center"/>
    </xf>
    <xf numFmtId="0" fontId="20" fillId="0" borderId="2" xfId="3" applyNumberFormat="1" applyFont="1" applyFill="1" applyBorder="1" applyAlignment="1">
      <alignment horizontal="left" vertical="center"/>
    </xf>
    <xf numFmtId="4" fontId="20" fillId="0" borderId="0" xfId="3" applyNumberFormat="1" applyFont="1" applyFill="1" applyAlignment="1">
      <alignment horizontal="center" vertical="center"/>
    </xf>
    <xf numFmtId="3" fontId="20" fillId="0" borderId="0" xfId="3" applyNumberFormat="1" applyFont="1" applyFill="1" applyAlignment="1">
      <alignment horizontal="center" vertical="center"/>
    </xf>
    <xf numFmtId="0" fontId="16" fillId="12" borderId="22" xfId="2" applyNumberFormat="1" applyFont="1" applyFill="1" applyBorder="1" applyAlignment="1">
      <alignment horizontal="center" vertical="center" wrapText="1"/>
    </xf>
    <xf numFmtId="0" fontId="16" fillId="12" borderId="23" xfId="2" applyFont="1" applyFill="1" applyBorder="1" applyAlignment="1">
      <alignment horizontal="center" vertical="center" wrapText="1"/>
    </xf>
    <xf numFmtId="4" fontId="16" fillId="12" borderId="23" xfId="2" applyNumberFormat="1" applyFont="1" applyFill="1" applyBorder="1" applyAlignment="1">
      <alignment horizontal="center" vertical="center" wrapText="1"/>
    </xf>
    <xf numFmtId="0" fontId="16" fillId="12" borderId="24" xfId="2" applyFont="1" applyFill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vertical="center" wrapText="1"/>
    </xf>
    <xf numFmtId="0" fontId="17" fillId="0" borderId="0" xfId="2" applyFont="1" applyBorder="1" applyAlignment="1">
      <alignment vertical="center"/>
    </xf>
    <xf numFmtId="0" fontId="23" fillId="0" borderId="25" xfId="2" applyNumberFormat="1" applyFont="1" applyFill="1" applyBorder="1" applyAlignment="1">
      <alignment horizontal="left" vertical="center" wrapText="1"/>
    </xf>
    <xf numFmtId="0" fontId="23" fillId="0" borderId="26" xfId="2" applyFont="1" applyFill="1" applyBorder="1" applyAlignment="1">
      <alignment horizontal="center" vertical="center" wrapText="1"/>
    </xf>
    <xf numFmtId="4" fontId="23" fillId="0" borderId="26" xfId="2" applyNumberFormat="1" applyFont="1" applyFill="1" applyBorder="1" applyAlignment="1">
      <alignment horizontal="left" vertical="center" wrapText="1"/>
    </xf>
    <xf numFmtId="4" fontId="23" fillId="0" borderId="26" xfId="2" applyNumberFormat="1" applyFont="1" applyFill="1" applyBorder="1" applyAlignment="1">
      <alignment horizontal="center" vertical="center" wrapText="1"/>
    </xf>
    <xf numFmtId="4" fontId="23" fillId="0" borderId="27" xfId="2" applyNumberFormat="1" applyFont="1" applyFill="1" applyBorder="1" applyAlignment="1">
      <alignment horizontal="left" vertical="center" wrapText="1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23" fillId="0" borderId="11" xfId="2" applyNumberFormat="1" applyFont="1" applyFill="1" applyBorder="1" applyAlignment="1">
      <alignment horizontal="left" vertical="center" wrapText="1"/>
    </xf>
    <xf numFmtId="0" fontId="23" fillId="0" borderId="2" xfId="2" applyFont="1" applyFill="1" applyBorder="1" applyAlignment="1">
      <alignment horizontal="center" vertical="center" wrapText="1"/>
    </xf>
    <xf numFmtId="4" fontId="23" fillId="0" borderId="2" xfId="2" applyNumberFormat="1" applyFont="1" applyFill="1" applyBorder="1" applyAlignment="1">
      <alignment horizontal="left" vertical="center" wrapText="1"/>
    </xf>
    <xf numFmtId="4" fontId="23" fillId="0" borderId="2" xfId="2" applyNumberFormat="1" applyFont="1" applyFill="1" applyBorder="1" applyAlignment="1">
      <alignment horizontal="center" vertical="center" wrapText="1"/>
    </xf>
    <xf numFmtId="4" fontId="23" fillId="0" borderId="12" xfId="2" applyNumberFormat="1" applyFont="1" applyFill="1" applyBorder="1" applyAlignment="1">
      <alignment horizontal="left" vertical="center" wrapText="1"/>
    </xf>
    <xf numFmtId="0" fontId="17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vertical="center"/>
    </xf>
    <xf numFmtId="0" fontId="23" fillId="0" borderId="13" xfId="2" applyNumberFormat="1" applyFont="1" applyFill="1" applyBorder="1" applyAlignment="1">
      <alignment horizontal="left" vertical="center" wrapText="1"/>
    </xf>
    <xf numFmtId="0" fontId="23" fillId="0" borderId="14" xfId="2" applyFont="1" applyFill="1" applyBorder="1" applyAlignment="1">
      <alignment horizontal="center" vertical="center" wrapText="1"/>
    </xf>
    <xf numFmtId="4" fontId="23" fillId="0" borderId="14" xfId="2" applyNumberFormat="1" applyFont="1" applyFill="1" applyBorder="1" applyAlignment="1">
      <alignment horizontal="left" vertical="center" wrapText="1"/>
    </xf>
    <xf numFmtId="4" fontId="23" fillId="0" borderId="14" xfId="2" applyNumberFormat="1" applyFont="1" applyFill="1" applyBorder="1" applyAlignment="1">
      <alignment horizontal="center" vertical="center" wrapText="1"/>
    </xf>
    <xf numFmtId="4" fontId="23" fillId="0" borderId="15" xfId="2" applyNumberFormat="1" applyFont="1" applyFill="1" applyBorder="1" applyAlignment="1">
      <alignment horizontal="left" vertical="center" wrapText="1"/>
    </xf>
    <xf numFmtId="0" fontId="16" fillId="13" borderId="28" xfId="2" applyNumberFormat="1" applyFont="1" applyFill="1" applyBorder="1" applyAlignment="1">
      <alignment horizontal="left" vertical="center" wrapText="1"/>
    </xf>
    <xf numFmtId="4" fontId="16" fillId="13" borderId="29" xfId="2" applyNumberFormat="1" applyFont="1" applyFill="1" applyBorder="1" applyAlignment="1">
      <alignment horizontal="center" vertical="center" wrapText="1"/>
    </xf>
    <xf numFmtId="0" fontId="15" fillId="13" borderId="30" xfId="2" applyFont="1" applyFill="1" applyBorder="1" applyAlignment="1">
      <alignment vertical="center" wrapText="1"/>
    </xf>
    <xf numFmtId="171" fontId="17" fillId="0" borderId="0" xfId="2" applyNumberFormat="1" applyFont="1" applyFill="1" applyBorder="1" applyAlignment="1">
      <alignment horizontal="left" vertical="center"/>
    </xf>
    <xf numFmtId="4" fontId="17" fillId="0" borderId="0" xfId="2" applyNumberFormat="1" applyFont="1" applyFill="1" applyBorder="1" applyAlignment="1">
      <alignment horizontal="center" vertical="center"/>
    </xf>
    <xf numFmtId="2" fontId="17" fillId="0" borderId="0" xfId="2" applyNumberFormat="1" applyFont="1" applyFill="1" applyBorder="1" applyAlignment="1">
      <alignment horizontal="center" vertical="center"/>
    </xf>
    <xf numFmtId="171" fontId="17" fillId="0" borderId="0" xfId="2" applyNumberFormat="1" applyFont="1" applyFill="1" applyBorder="1" applyAlignment="1">
      <alignment horizontal="center" vertical="center"/>
    </xf>
    <xf numFmtId="0" fontId="23" fillId="0" borderId="8" xfId="2" applyNumberFormat="1" applyFont="1" applyFill="1" applyBorder="1" applyAlignment="1">
      <alignment horizontal="left" vertical="center" wrapText="1"/>
    </xf>
    <xf numFmtId="0" fontId="23" fillId="0" borderId="9" xfId="2" applyFont="1" applyFill="1" applyBorder="1" applyAlignment="1">
      <alignment horizontal="center" vertical="center" wrapText="1"/>
    </xf>
    <xf numFmtId="4" fontId="23" fillId="0" borderId="9" xfId="2" applyNumberFormat="1" applyFont="1" applyFill="1" applyBorder="1" applyAlignment="1">
      <alignment horizontal="left" vertical="center" wrapText="1"/>
    </xf>
    <xf numFmtId="4" fontId="23" fillId="0" borderId="9" xfId="2" applyNumberFormat="1" applyFont="1" applyFill="1" applyBorder="1" applyAlignment="1">
      <alignment horizontal="center" vertical="center" wrapText="1"/>
    </xf>
    <xf numFmtId="4" fontId="23" fillId="0" borderId="10" xfId="2" applyNumberFormat="1" applyFont="1" applyFill="1" applyBorder="1" applyAlignment="1">
      <alignment horizontal="left" vertical="center" wrapText="1"/>
    </xf>
    <xf numFmtId="0" fontId="23" fillId="0" borderId="13" xfId="2" applyFont="1" applyFill="1" applyBorder="1" applyAlignment="1">
      <alignment horizontal="left" vertical="center" wrapText="1"/>
    </xf>
    <xf numFmtId="0" fontId="23" fillId="0" borderId="28" xfId="2" applyNumberFormat="1" applyFont="1" applyFill="1" applyBorder="1" applyAlignment="1">
      <alignment horizontal="left" vertical="center" wrapText="1"/>
    </xf>
    <xf numFmtId="0" fontId="23" fillId="0" borderId="29" xfId="2" applyFont="1" applyFill="1" applyBorder="1" applyAlignment="1">
      <alignment horizontal="center" vertical="center" wrapText="1"/>
    </xf>
    <xf numFmtId="4" fontId="23" fillId="0" borderId="29" xfId="2" applyNumberFormat="1" applyFont="1" applyFill="1" applyBorder="1" applyAlignment="1">
      <alignment horizontal="left" vertical="center" wrapText="1"/>
    </xf>
    <xf numFmtId="4" fontId="23" fillId="0" borderId="29" xfId="2" applyNumberFormat="1" applyFont="1" applyFill="1" applyBorder="1" applyAlignment="1">
      <alignment horizontal="center" vertical="center" wrapText="1"/>
    </xf>
    <xf numFmtId="4" fontId="23" fillId="0" borderId="30" xfId="2" applyNumberFormat="1" applyFont="1" applyFill="1" applyBorder="1" applyAlignment="1">
      <alignment horizontal="left" vertical="center" wrapText="1"/>
    </xf>
    <xf numFmtId="0" fontId="23" fillId="0" borderId="11" xfId="2" applyFont="1" applyFill="1" applyBorder="1" applyAlignment="1">
      <alignment horizontal="left" vertical="center" wrapText="1"/>
    </xf>
    <xf numFmtId="0" fontId="23" fillId="0" borderId="8" xfId="2" applyFont="1" applyFill="1" applyBorder="1" applyAlignment="1">
      <alignment horizontal="left" vertical="center" wrapText="1"/>
    </xf>
    <xf numFmtId="0" fontId="17" fillId="14" borderId="0" xfId="2" applyFont="1" applyFill="1" applyBorder="1" applyAlignment="1">
      <alignment horizontal="center" vertical="center"/>
    </xf>
    <xf numFmtId="0" fontId="17" fillId="14" borderId="0" xfId="2" applyFont="1" applyFill="1" applyBorder="1" applyAlignment="1">
      <alignment horizontal="left" vertical="center"/>
    </xf>
    <xf numFmtId="0" fontId="17" fillId="14" borderId="0" xfId="2" applyFont="1" applyFill="1" applyBorder="1" applyAlignment="1">
      <alignment vertical="center"/>
    </xf>
    <xf numFmtId="0" fontId="23" fillId="0" borderId="3" xfId="2" applyFont="1" applyFill="1" applyBorder="1" applyAlignment="1">
      <alignment horizontal="center" vertical="center" wrapText="1"/>
    </xf>
    <xf numFmtId="14" fontId="23" fillId="0" borderId="3" xfId="2" applyNumberFormat="1" applyFont="1" applyFill="1" applyBorder="1" applyAlignment="1">
      <alignment horizontal="center" vertical="center" wrapText="1"/>
    </xf>
    <xf numFmtId="0" fontId="23" fillId="0" borderId="31" xfId="2" applyFont="1" applyFill="1" applyBorder="1" applyAlignment="1">
      <alignment horizontal="center" vertical="center" wrapText="1"/>
    </xf>
    <xf numFmtId="4" fontId="23" fillId="0" borderId="32" xfId="2" applyNumberFormat="1" applyFont="1" applyFill="1" applyBorder="1" applyAlignment="1">
      <alignment horizontal="left" vertical="center" wrapText="1"/>
    </xf>
    <xf numFmtId="0" fontId="17" fillId="0" borderId="8" xfId="2" applyNumberFormat="1" applyFont="1" applyFill="1" applyBorder="1" applyAlignment="1">
      <alignment horizontal="left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23" fillId="0" borderId="8" xfId="2" quotePrefix="1" applyNumberFormat="1" applyFont="1" applyFill="1" applyBorder="1" applyAlignment="1">
      <alignment horizontal="left" vertical="center" wrapText="1"/>
    </xf>
    <xf numFmtId="2" fontId="17" fillId="0" borderId="0" xfId="2" applyNumberFormat="1" applyFont="1" applyBorder="1" applyAlignment="1">
      <alignment horizontal="center" vertical="center"/>
    </xf>
    <xf numFmtId="171" fontId="17" fillId="0" borderId="0" xfId="2" applyNumberFormat="1" applyFont="1" applyBorder="1" applyAlignment="1">
      <alignment horizontal="center" vertical="center"/>
    </xf>
    <xf numFmtId="0" fontId="9" fillId="0" borderId="0" xfId="2" applyNumberFormat="1" applyBorder="1" applyAlignment="1">
      <alignment vertical="center"/>
    </xf>
    <xf numFmtId="0" fontId="9" fillId="0" borderId="0" xfId="2" applyBorder="1" applyAlignment="1">
      <alignment vertical="center"/>
    </xf>
    <xf numFmtId="4" fontId="9" fillId="0" borderId="0" xfId="2" applyNumberFormat="1" applyBorder="1" applyAlignment="1">
      <alignment vertical="center"/>
    </xf>
    <xf numFmtId="0" fontId="9" fillId="0" borderId="0" xfId="2" applyBorder="1" applyAlignment="1">
      <alignment vertical="center" wrapText="1"/>
    </xf>
    <xf numFmtId="0" fontId="9" fillId="0" borderId="0" xfId="2" applyBorder="1" applyAlignment="1">
      <alignment horizontal="right" vertical="center"/>
    </xf>
    <xf numFmtId="4" fontId="9" fillId="0" borderId="0" xfId="2" applyNumberFormat="1" applyBorder="1" applyAlignment="1">
      <alignment horizontal="center" vertical="center"/>
    </xf>
    <xf numFmtId="2" fontId="1" fillId="8" borderId="0" xfId="0" applyNumberFormat="1" applyFont="1" applyFill="1" applyAlignment="1">
      <alignment horizontal="left" indent="1"/>
    </xf>
    <xf numFmtId="2" fontId="1" fillId="9" borderId="0" xfId="0" applyNumberFormat="1" applyFont="1" applyFill="1" applyAlignment="1">
      <alignment horizontal="left" indent="4"/>
    </xf>
    <xf numFmtId="2" fontId="1" fillId="6" borderId="0" xfId="0" applyNumberFormat="1" applyFont="1" applyFill="1" applyAlignment="1">
      <alignment horizontal="left" indent="2"/>
    </xf>
    <xf numFmtId="2" fontId="1" fillId="5" borderId="0" xfId="0" applyNumberFormat="1" applyFont="1" applyFill="1" applyAlignment="1">
      <alignment horizontal="left" indent="3"/>
    </xf>
    <xf numFmtId="2" fontId="1" fillId="10" borderId="0" xfId="0" applyNumberFormat="1" applyFont="1" applyFill="1" applyAlignment="1">
      <alignment horizontal="left" indent="5"/>
    </xf>
    <xf numFmtId="0" fontId="17" fillId="0" borderId="33" xfId="4" applyBorder="1"/>
    <xf numFmtId="0" fontId="17" fillId="0" borderId="34" xfId="4" applyBorder="1"/>
    <xf numFmtId="0" fontId="17" fillId="0" borderId="7" xfId="4" applyFont="1" applyBorder="1" applyAlignment="1">
      <alignment horizontal="center" wrapText="1"/>
    </xf>
    <xf numFmtId="0" fontId="17" fillId="0" borderId="0" xfId="4"/>
    <xf numFmtId="0" fontId="15" fillId="0" borderId="35" xfId="4" applyFont="1" applyBorder="1" applyAlignment="1"/>
    <xf numFmtId="0" fontId="17" fillId="0" borderId="16" xfId="4" applyBorder="1" applyAlignment="1"/>
    <xf numFmtId="0" fontId="17" fillId="0" borderId="35" xfId="4" applyBorder="1"/>
    <xf numFmtId="0" fontId="17" fillId="0" borderId="16" xfId="4" applyBorder="1"/>
    <xf numFmtId="0" fontId="17" fillId="0" borderId="36" xfId="4" applyBorder="1"/>
    <xf numFmtId="168" fontId="17" fillId="0" borderId="35" xfId="4" applyNumberFormat="1" applyBorder="1"/>
    <xf numFmtId="168" fontId="17" fillId="0" borderId="36" xfId="4" applyNumberFormat="1" applyBorder="1"/>
    <xf numFmtId="168" fontId="17" fillId="0" borderId="35" xfId="4" applyNumberFormat="1" applyFill="1" applyBorder="1"/>
    <xf numFmtId="0" fontId="17" fillId="0" borderId="35" xfId="4" applyFill="1" applyBorder="1"/>
    <xf numFmtId="0" fontId="17" fillId="0" borderId="17" xfId="4" applyBorder="1"/>
    <xf numFmtId="0" fontId="17" fillId="0" borderId="18" xfId="4" applyBorder="1"/>
    <xf numFmtId="0" fontId="17" fillId="0" borderId="37" xfId="4" applyBorder="1"/>
    <xf numFmtId="0" fontId="15" fillId="0" borderId="38" xfId="4" applyFont="1" applyBorder="1" applyAlignment="1"/>
    <xf numFmtId="0" fontId="17" fillId="0" borderId="39" xfId="4" applyBorder="1"/>
    <xf numFmtId="0" fontId="17" fillId="0" borderId="38" xfId="4" applyBorder="1"/>
    <xf numFmtId="0" fontId="17" fillId="0" borderId="40" xfId="4" applyBorder="1"/>
    <xf numFmtId="0" fontId="17" fillId="0" borderId="16" xfId="4" applyFill="1" applyBorder="1"/>
    <xf numFmtId="0" fontId="17" fillId="0" borderId="18" xfId="4" applyFill="1" applyBorder="1"/>
    <xf numFmtId="0" fontId="17" fillId="0" borderId="17" xfId="4" applyFill="1" applyBorder="1"/>
    <xf numFmtId="0" fontId="17" fillId="0" borderId="35" xfId="4" applyBorder="1" applyAlignment="1"/>
    <xf numFmtId="0" fontId="15" fillId="0" borderId="35" xfId="4" applyFont="1" applyBorder="1" applyAlignment="1">
      <alignment horizontal="left" vertical="center"/>
    </xf>
    <xf numFmtId="0" fontId="15" fillId="0" borderId="16" xfId="4" applyFont="1" applyBorder="1" applyAlignment="1"/>
    <xf numFmtId="0" fontId="15" fillId="0" borderId="41" xfId="4" applyFont="1" applyBorder="1" applyAlignment="1">
      <alignment horizontal="center" vertical="center"/>
    </xf>
    <xf numFmtId="0" fontId="15" fillId="0" borderId="42" xfId="4" applyFont="1" applyBorder="1" applyAlignment="1">
      <alignment horizontal="center"/>
    </xf>
    <xf numFmtId="0" fontId="15" fillId="0" borderId="43" xfId="4" applyFont="1" applyBorder="1" applyAlignment="1">
      <alignment horizontal="center"/>
    </xf>
    <xf numFmtId="49" fontId="15" fillId="0" borderId="35" xfId="4" applyNumberFormat="1" applyFont="1" applyBorder="1" applyAlignment="1">
      <alignment horizontal="right"/>
    </xf>
    <xf numFmtId="0" fontId="17" fillId="0" borderId="44" xfId="4" applyBorder="1" applyAlignment="1">
      <alignment horizontal="center"/>
    </xf>
    <xf numFmtId="0" fontId="17" fillId="0" borderId="45" xfId="4" applyBorder="1" applyAlignment="1"/>
    <xf numFmtId="0" fontId="17" fillId="0" borderId="36" xfId="4" applyBorder="1" applyAlignment="1"/>
    <xf numFmtId="49" fontId="17" fillId="0" borderId="35" xfId="4" applyNumberFormat="1" applyBorder="1" applyAlignment="1">
      <alignment horizontal="right"/>
    </xf>
    <xf numFmtId="0" fontId="17" fillId="0" borderId="45" xfId="4" applyBorder="1" applyAlignment="1">
      <alignment horizontal="center"/>
    </xf>
    <xf numFmtId="0" fontId="17" fillId="0" borderId="36" xfId="4" applyBorder="1" applyAlignment="1">
      <alignment horizontal="center"/>
    </xf>
    <xf numFmtId="0" fontId="17" fillId="0" borderId="16" xfId="4" applyFill="1" applyBorder="1" applyAlignment="1"/>
    <xf numFmtId="0" fontId="17" fillId="0" borderId="45" xfId="4" applyFill="1" applyBorder="1" applyAlignment="1">
      <alignment horizontal="center"/>
    </xf>
    <xf numFmtId="0" fontId="17" fillId="0" borderId="36" xfId="4" applyFill="1" applyBorder="1" applyAlignment="1">
      <alignment horizontal="center"/>
    </xf>
    <xf numFmtId="0" fontId="17" fillId="0" borderId="45" xfId="4" applyFill="1" applyBorder="1" applyAlignment="1"/>
    <xf numFmtId="49" fontId="15" fillId="13" borderId="35" xfId="4" applyNumberFormat="1" applyFont="1" applyFill="1" applyBorder="1" applyAlignment="1">
      <alignment horizontal="left"/>
    </xf>
    <xf numFmtId="0" fontId="15" fillId="13" borderId="16" xfId="4" applyFont="1" applyFill="1" applyBorder="1" applyAlignment="1"/>
    <xf numFmtId="0" fontId="15" fillId="13" borderId="44" xfId="4" applyFont="1" applyFill="1" applyBorder="1" applyAlignment="1">
      <alignment horizontal="center"/>
    </xf>
    <xf numFmtId="0" fontId="15" fillId="13" borderId="45" xfId="4" applyFont="1" applyFill="1" applyBorder="1" applyAlignment="1">
      <alignment horizontal="center"/>
    </xf>
    <xf numFmtId="0" fontId="15" fillId="13" borderId="36" xfId="4" applyFont="1" applyFill="1" applyBorder="1" applyAlignment="1">
      <alignment horizontal="center"/>
    </xf>
    <xf numFmtId="0" fontId="15" fillId="0" borderId="16" xfId="4" applyFont="1" applyFill="1" applyBorder="1" applyAlignment="1"/>
    <xf numFmtId="0" fontId="17" fillId="0" borderId="36" xfId="4" applyFill="1" applyBorder="1" applyAlignment="1"/>
    <xf numFmtId="0" fontId="17" fillId="0" borderId="44" xfId="4" applyBorder="1" applyAlignment="1"/>
    <xf numFmtId="0" fontId="17" fillId="0" borderId="44" xfId="4" applyFill="1" applyBorder="1" applyAlignment="1">
      <alignment horizontal="center"/>
    </xf>
    <xf numFmtId="49" fontId="15" fillId="15" borderId="35" xfId="4" applyNumberFormat="1" applyFont="1" applyFill="1" applyBorder="1" applyAlignment="1">
      <alignment horizontal="left"/>
    </xf>
    <xf numFmtId="0" fontId="15" fillId="15" borderId="16" xfId="4" applyFont="1" applyFill="1" applyBorder="1" applyAlignment="1"/>
    <xf numFmtId="0" fontId="15" fillId="15" borderId="46" xfId="4" applyFont="1" applyFill="1" applyBorder="1" applyAlignment="1">
      <alignment horizontal="center"/>
    </xf>
    <xf numFmtId="0" fontId="15" fillId="15" borderId="32" xfId="4" applyFont="1" applyFill="1" applyBorder="1" applyAlignment="1">
      <alignment horizontal="center"/>
    </xf>
    <xf numFmtId="0" fontId="15" fillId="15" borderId="37" xfId="4" applyFont="1" applyFill="1" applyBorder="1" applyAlignment="1">
      <alignment horizontal="center"/>
    </xf>
    <xf numFmtId="0" fontId="17" fillId="0" borderId="39" xfId="4" applyBorder="1" applyAlignment="1"/>
    <xf numFmtId="0" fontId="17" fillId="0" borderId="38" xfId="4" applyBorder="1" applyAlignment="1"/>
    <xf numFmtId="0" fontId="15" fillId="0" borderId="41" xfId="4" applyFont="1" applyBorder="1" applyAlignment="1">
      <alignment horizontal="center"/>
    </xf>
    <xf numFmtId="0" fontId="17" fillId="0" borderId="45" xfId="4" applyBorder="1"/>
    <xf numFmtId="0" fontId="25" fillId="13" borderId="44" xfId="4" applyFont="1" applyFill="1" applyBorder="1" applyAlignment="1">
      <alignment horizontal="center"/>
    </xf>
    <xf numFmtId="0" fontId="25" fillId="13" borderId="45" xfId="4" applyFont="1" applyFill="1" applyBorder="1" applyAlignment="1">
      <alignment horizontal="center"/>
    </xf>
    <xf numFmtId="1" fontId="25" fillId="13" borderId="44" xfId="4" applyNumberFormat="1" applyFont="1" applyFill="1" applyBorder="1" applyAlignment="1">
      <alignment horizontal="center"/>
    </xf>
    <xf numFmtId="1" fontId="25" fillId="13" borderId="45" xfId="4" applyNumberFormat="1" applyFont="1" applyFill="1" applyBorder="1" applyAlignment="1">
      <alignment horizontal="center"/>
    </xf>
    <xf numFmtId="1" fontId="25" fillId="13" borderId="36" xfId="4" applyNumberFormat="1" applyFont="1" applyFill="1" applyBorder="1" applyAlignment="1">
      <alignment horizontal="center"/>
    </xf>
    <xf numFmtId="0" fontId="25" fillId="15" borderId="46" xfId="4" applyFont="1" applyFill="1" applyBorder="1" applyAlignment="1">
      <alignment horizontal="center"/>
    </xf>
    <xf numFmtId="0" fontId="25" fillId="15" borderId="32" xfId="4" applyFont="1" applyFill="1" applyBorder="1" applyAlignment="1">
      <alignment horizontal="center"/>
    </xf>
    <xf numFmtId="1" fontId="25" fillId="15" borderId="46" xfId="4" applyNumberFormat="1" applyFont="1" applyFill="1" applyBorder="1" applyAlignment="1">
      <alignment horizontal="center"/>
    </xf>
    <xf numFmtId="1" fontId="25" fillId="15" borderId="32" xfId="4" applyNumberFormat="1" applyFont="1" applyFill="1" applyBorder="1" applyAlignment="1">
      <alignment horizontal="center"/>
    </xf>
    <xf numFmtId="1" fontId="25" fillId="15" borderId="37" xfId="4" applyNumberFormat="1" applyFont="1" applyFill="1" applyBorder="1" applyAlignment="1">
      <alignment horizontal="center"/>
    </xf>
    <xf numFmtId="0" fontId="15" fillId="0" borderId="34" xfId="4" applyFont="1" applyBorder="1" applyAlignment="1">
      <alignment vertical="top"/>
    </xf>
    <xf numFmtId="2" fontId="0" fillId="0" borderId="0" xfId="0" applyNumberFormat="1" applyAlignment="1">
      <alignment horizontal="center"/>
    </xf>
    <xf numFmtId="49" fontId="17" fillId="0" borderId="0" xfId="4" applyNumberFormat="1"/>
    <xf numFmtId="0" fontId="17" fillId="0" borderId="47" xfId="4" applyFont="1" applyBorder="1" applyAlignment="1">
      <alignment horizontal="center" wrapText="1"/>
    </xf>
    <xf numFmtId="0" fontId="17" fillId="0" borderId="0" xfId="4" applyBorder="1"/>
    <xf numFmtId="0" fontId="17" fillId="0" borderId="6" xfId="4" applyBorder="1"/>
    <xf numFmtId="0" fontId="17" fillId="0" borderId="48" xfId="4" applyBorder="1"/>
    <xf numFmtId="0" fontId="17" fillId="0" borderId="0" xfId="4" applyBorder="1" applyAlignment="1"/>
    <xf numFmtId="0" fontId="15" fillId="0" borderId="49" xfId="4" applyFont="1" applyBorder="1" applyAlignment="1">
      <alignment horizontal="center"/>
    </xf>
    <xf numFmtId="0" fontId="17" fillId="0" borderId="0" xfId="4" applyBorder="1" applyAlignment="1">
      <alignment horizontal="center"/>
    </xf>
    <xf numFmtId="0" fontId="17" fillId="0" borderId="0" xfId="4" applyFill="1" applyBorder="1" applyAlignment="1">
      <alignment horizontal="center"/>
    </xf>
    <xf numFmtId="0" fontId="15" fillId="13" borderId="0" xfId="4" applyFont="1" applyFill="1" applyBorder="1" applyAlignment="1">
      <alignment horizontal="center"/>
    </xf>
    <xf numFmtId="0" fontId="17" fillId="0" borderId="0" xfId="4" applyFill="1" applyBorder="1" applyAlignment="1"/>
    <xf numFmtId="0" fontId="15" fillId="15" borderId="6" xfId="4" applyFont="1" applyFill="1" applyBorder="1" applyAlignment="1">
      <alignment horizontal="center"/>
    </xf>
    <xf numFmtId="0" fontId="17" fillId="0" borderId="48" xfId="4" applyBorder="1" applyAlignment="1"/>
    <xf numFmtId="0" fontId="25" fillId="13" borderId="0" xfId="4" applyFont="1" applyFill="1" applyBorder="1" applyAlignment="1">
      <alignment horizontal="center"/>
    </xf>
    <xf numFmtId="0" fontId="25" fillId="15" borderId="6" xfId="4" applyFont="1" applyFill="1" applyBorder="1" applyAlignment="1">
      <alignment horizontal="center"/>
    </xf>
    <xf numFmtId="0" fontId="17" fillId="0" borderId="47" xfId="4" applyBorder="1"/>
    <xf numFmtId="0" fontId="17" fillId="0" borderId="47" xfId="4" applyBorder="1" applyAlignment="1">
      <alignment horizontal="center" wrapText="1"/>
    </xf>
    <xf numFmtId="1" fontId="25" fillId="13" borderId="0" xfId="4" applyNumberFormat="1" applyFont="1" applyFill="1" applyBorder="1" applyAlignment="1">
      <alignment horizontal="center"/>
    </xf>
    <xf numFmtId="1" fontId="25" fillId="15" borderId="6" xfId="4" applyNumberFormat="1" applyFont="1" applyFill="1" applyBorder="1" applyAlignment="1">
      <alignment horizontal="center"/>
    </xf>
    <xf numFmtId="0" fontId="17" fillId="0" borderId="34" xfId="4" applyFont="1" applyBorder="1" applyAlignment="1">
      <alignment horizontal="center" wrapText="1"/>
    </xf>
    <xf numFmtId="0" fontId="15" fillId="0" borderId="50" xfId="4" applyFont="1" applyBorder="1" applyAlignment="1">
      <alignment horizontal="center"/>
    </xf>
    <xf numFmtId="0" fontId="17" fillId="0" borderId="16" xfId="4" applyBorder="1" applyAlignment="1">
      <alignment horizontal="center"/>
    </xf>
    <xf numFmtId="0" fontId="17" fillId="0" borderId="16" xfId="4" applyFill="1" applyBorder="1" applyAlignment="1">
      <alignment horizontal="center"/>
    </xf>
    <xf numFmtId="0" fontId="15" fillId="13" borderId="16" xfId="4" applyFont="1" applyFill="1" applyBorder="1" applyAlignment="1">
      <alignment horizontal="center"/>
    </xf>
    <xf numFmtId="0" fontId="15" fillId="15" borderId="18" xfId="4" applyFont="1" applyFill="1" applyBorder="1" applyAlignment="1">
      <alignment horizontal="center"/>
    </xf>
    <xf numFmtId="1" fontId="25" fillId="13" borderId="16" xfId="4" applyNumberFormat="1" applyFont="1" applyFill="1" applyBorder="1" applyAlignment="1">
      <alignment horizontal="center"/>
    </xf>
    <xf numFmtId="1" fontId="25" fillId="15" borderId="18" xfId="4" applyNumberFormat="1" applyFont="1" applyFill="1" applyBorder="1" applyAlignment="1">
      <alignment horizontal="center"/>
    </xf>
    <xf numFmtId="0" fontId="17" fillId="0" borderId="0" xfId="4" applyFill="1" applyBorder="1"/>
    <xf numFmtId="2" fontId="1" fillId="0" borderId="0" xfId="0" applyNumberFormat="1" applyFont="1"/>
    <xf numFmtId="2" fontId="0" fillId="0" borderId="0" xfId="0" applyNumberFormat="1" applyAlignment="1"/>
    <xf numFmtId="1" fontId="0" fillId="0" borderId="0" xfId="0" applyNumberFormat="1"/>
    <xf numFmtId="2" fontId="26" fillId="8" borderId="0" xfId="0" applyNumberFormat="1" applyFont="1" applyFill="1" applyAlignment="1">
      <alignment horizontal="left" indent="1"/>
    </xf>
    <xf numFmtId="0" fontId="1" fillId="8" borderId="0" xfId="0" applyFont="1" applyFill="1"/>
    <xf numFmtId="49" fontId="27" fillId="0" borderId="0" xfId="4" applyNumberFormat="1" applyFont="1"/>
    <xf numFmtId="2" fontId="26" fillId="6" borderId="0" xfId="0" applyNumberFormat="1" applyFont="1" applyFill="1" applyAlignment="1">
      <alignment horizontal="left" indent="2"/>
    </xf>
    <xf numFmtId="2" fontId="26" fillId="5" borderId="0" xfId="0" applyNumberFormat="1" applyFont="1" applyFill="1" applyAlignment="1">
      <alignment horizontal="left" indent="3"/>
    </xf>
    <xf numFmtId="2" fontId="26" fillId="10" borderId="0" xfId="0" applyNumberFormat="1" applyFont="1" applyFill="1" applyAlignment="1">
      <alignment horizontal="left" indent="5"/>
    </xf>
    <xf numFmtId="2" fontId="26" fillId="9" borderId="0" xfId="0" applyNumberFormat="1" applyFont="1" applyFill="1" applyAlignment="1">
      <alignment horizontal="left" indent="4"/>
    </xf>
    <xf numFmtId="2" fontId="26" fillId="7" borderId="0" xfId="0" applyNumberFormat="1" applyFont="1" applyFill="1" applyAlignment="1">
      <alignment horizontal="left"/>
    </xf>
    <xf numFmtId="2" fontId="26" fillId="6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7" fillId="0" borderId="33" xfId="4" applyFont="1" applyBorder="1" applyAlignment="1">
      <alignment horizontal="center" wrapText="1"/>
    </xf>
    <xf numFmtId="0" fontId="17" fillId="0" borderId="34" xfId="4" applyFont="1" applyBorder="1" applyAlignment="1">
      <alignment horizontal="center" wrapText="1"/>
    </xf>
    <xf numFmtId="0" fontId="17" fillId="0" borderId="33" xfId="4" applyBorder="1" applyAlignment="1">
      <alignment horizontal="center" wrapText="1"/>
    </xf>
    <xf numFmtId="0" fontId="17" fillId="0" borderId="34" xfId="4" applyBorder="1" applyAlignment="1">
      <alignment horizontal="center" wrapText="1"/>
    </xf>
    <xf numFmtId="0" fontId="10" fillId="0" borderId="6" xfId="2" applyFont="1" applyFill="1" applyBorder="1" applyAlignment="1">
      <alignment vertical="center"/>
    </xf>
    <xf numFmtId="0" fontId="9" fillId="0" borderId="6" xfId="2" applyBorder="1" applyAlignment="1">
      <alignment vertical="center"/>
    </xf>
    <xf numFmtId="0" fontId="15" fillId="11" borderId="17" xfId="2" applyNumberFormat="1" applyFont="1" applyFill="1" applyBorder="1" applyAlignment="1">
      <alignment horizontal="left" vertical="center"/>
    </xf>
    <xf numFmtId="0" fontId="15" fillId="0" borderId="6" xfId="2" applyFont="1" applyBorder="1" applyAlignment="1"/>
    <xf numFmtId="0" fontId="20" fillId="0" borderId="19" xfId="3" applyNumberFormat="1" applyFont="1" applyFill="1" applyBorder="1" applyAlignment="1">
      <alignment horizontal="left" vertical="center"/>
    </xf>
    <xf numFmtId="0" fontId="20" fillId="0" borderId="20" xfId="3" applyNumberFormat="1" applyFont="1" applyFill="1" applyBorder="1" applyAlignment="1">
      <alignment horizontal="left" vertical="center"/>
    </xf>
    <xf numFmtId="0" fontId="20" fillId="0" borderId="21" xfId="3" applyNumberFormat="1" applyFont="1" applyFill="1" applyBorder="1" applyAlignment="1">
      <alignment horizontal="left" vertical="center"/>
    </xf>
    <xf numFmtId="0" fontId="15" fillId="13" borderId="29" xfId="2" applyNumberFormat="1" applyFont="1" applyFill="1" applyBorder="1" applyAlignment="1">
      <alignment horizontal="left" vertical="center"/>
    </xf>
    <xf numFmtId="0" fontId="17" fillId="13" borderId="29" xfId="2" applyFont="1" applyFill="1" applyBorder="1" applyAlignment="1">
      <alignment vertical="center"/>
    </xf>
    <xf numFmtId="0" fontId="16" fillId="13" borderId="29" xfId="2" applyFont="1" applyFill="1" applyBorder="1" applyAlignment="1">
      <alignment horizontal="left" vertical="center" wrapText="1"/>
    </xf>
    <xf numFmtId="0" fontId="17" fillId="13" borderId="29" xfId="2" applyFont="1" applyFill="1" applyBorder="1" applyAlignment="1">
      <alignment vertical="center" wrapText="1"/>
    </xf>
  </cellXfs>
  <cellStyles count="5">
    <cellStyle name="Normal" xfId="0" builtinId="0"/>
    <cellStyle name="Normal 2" xfId="2"/>
    <cellStyle name="Normal 3" xfId="3"/>
    <cellStyle name="Normal 4" xfId="4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chartsheet" Target="chartsheets/sheet26.xml"/><Relationship Id="rId39" Type="http://schemas.openxmlformats.org/officeDocument/2006/relationships/worksheet" Target="worksheets/sheet7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34" Type="http://schemas.openxmlformats.org/officeDocument/2006/relationships/worksheet" Target="worksheets/sheet2.xml"/><Relationship Id="rId42" Type="http://schemas.openxmlformats.org/officeDocument/2006/relationships/externalLink" Target="externalLinks/externalLink1.xml"/><Relationship Id="rId47" Type="http://schemas.openxmlformats.org/officeDocument/2006/relationships/styles" Target="styles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chartsheet" Target="chartsheets/sheet25.xml"/><Relationship Id="rId33" Type="http://schemas.openxmlformats.org/officeDocument/2006/relationships/worksheet" Target="worksheets/sheet1.xml"/><Relationship Id="rId38" Type="http://schemas.openxmlformats.org/officeDocument/2006/relationships/worksheet" Target="worksheets/sheet6.xml"/><Relationship Id="rId46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29" Type="http://schemas.openxmlformats.org/officeDocument/2006/relationships/chartsheet" Target="chartsheets/sheet29.xml"/><Relationship Id="rId41" Type="http://schemas.openxmlformats.org/officeDocument/2006/relationships/worksheet" Target="worksheets/sheet9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chartsheet" Target="chartsheets/sheet24.xml"/><Relationship Id="rId32" Type="http://schemas.openxmlformats.org/officeDocument/2006/relationships/chartsheet" Target="chartsheets/sheet32.xml"/><Relationship Id="rId37" Type="http://schemas.openxmlformats.org/officeDocument/2006/relationships/worksheet" Target="worksheets/sheet5.xml"/><Relationship Id="rId40" Type="http://schemas.openxmlformats.org/officeDocument/2006/relationships/worksheet" Target="worksheets/sheet8.xml"/><Relationship Id="rId45" Type="http://schemas.openxmlformats.org/officeDocument/2006/relationships/externalLink" Target="externalLinks/externalLink4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chartsheet" Target="chartsheets/sheet23.xml"/><Relationship Id="rId28" Type="http://schemas.openxmlformats.org/officeDocument/2006/relationships/chartsheet" Target="chartsheets/sheet28.xml"/><Relationship Id="rId36" Type="http://schemas.openxmlformats.org/officeDocument/2006/relationships/worksheet" Target="worksheets/sheet4.xml"/><Relationship Id="rId49" Type="http://schemas.openxmlformats.org/officeDocument/2006/relationships/calcChain" Target="calcChain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31" Type="http://schemas.openxmlformats.org/officeDocument/2006/relationships/chartsheet" Target="chartsheets/sheet31.xml"/><Relationship Id="rId44" Type="http://schemas.openxmlformats.org/officeDocument/2006/relationships/externalLink" Target="externalLinks/externalLink3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chartsheet" Target="chartsheets/sheet22.xml"/><Relationship Id="rId27" Type="http://schemas.openxmlformats.org/officeDocument/2006/relationships/chartsheet" Target="chartsheets/sheet27.xml"/><Relationship Id="rId30" Type="http://schemas.openxmlformats.org/officeDocument/2006/relationships/chartsheet" Target="chartsheets/sheet30.xml"/><Relationship Id="rId35" Type="http://schemas.openxmlformats.org/officeDocument/2006/relationships/worksheet" Target="worksheets/sheet3.xml"/><Relationship Id="rId43" Type="http://schemas.openxmlformats.org/officeDocument/2006/relationships/externalLink" Target="externalLinks/externalLink2.xml"/><Relationship Id="rId48" Type="http://schemas.openxmlformats.org/officeDocument/2006/relationships/sharedStrings" Target="sharedStrings.xml"/><Relationship Id="rId8" Type="http://schemas.openxmlformats.org/officeDocument/2006/relationships/chartsheet" Target="chart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1 - Mission Support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Areas!$C$11:$F$11</c:f>
              <c:numCache>
                <c:formatCode>0.00</c:formatCode>
                <c:ptCount val="4"/>
                <c:pt idx="0">
                  <c:v>1477.380071744891</c:v>
                </c:pt>
                <c:pt idx="1">
                  <c:v>1276.1471931510389</c:v>
                </c:pt>
                <c:pt idx="2">
                  <c:v>299.43378010525618</c:v>
                </c:pt>
                <c:pt idx="3">
                  <c:v>134.84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0B-4DE6-B25C-FAEF4C6ADF61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Areas!$P$11</c:f>
              <c:numCache>
                <c:formatCode>0.00</c:formatCode>
                <c:ptCount val="1"/>
                <c:pt idx="0">
                  <c:v>1414.7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0B-4DE6-B25C-FAEF4C6ADF61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Areas!$Q$11</c:f>
              <c:numCache>
                <c:formatCode>0.00</c:formatCode>
                <c:ptCount val="1"/>
                <c:pt idx="0">
                  <c:v>1417.2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0B-4DE6-B25C-FAEF4C6ADF61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Areas!$G$11:$O$11</c:f>
              <c:numCache>
                <c:formatCode>0.00</c:formatCode>
                <c:ptCount val="9"/>
                <c:pt idx="0">
                  <c:v>0</c:v>
                </c:pt>
                <c:pt idx="1">
                  <c:v>9.3834352437576403</c:v>
                </c:pt>
                <c:pt idx="2">
                  <c:v>15.422279707562062</c:v>
                </c:pt>
                <c:pt idx="3">
                  <c:v>20.021092029997735</c:v>
                </c:pt>
                <c:pt idx="5">
                  <c:v>41.993195348301519</c:v>
                </c:pt>
                <c:pt idx="6">
                  <c:v>121.98465816884932</c:v>
                </c:pt>
                <c:pt idx="7">
                  <c:v>478.18357623386703</c:v>
                </c:pt>
                <c:pt idx="8">
                  <c:v>514.23083241780728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0B-4DE6-B25C-FAEF4C6AD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2.2</a:t>
            </a:r>
            <a:r>
              <a:rPr lang="en-US" baseline="0"/>
              <a:t> - Commissary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Areas!$C$228:$F$228</c:f>
              <c:numCache>
                <c:formatCode>0.00</c:formatCode>
                <c:ptCount val="4"/>
                <c:pt idx="0">
                  <c:v>394.29009083670724</c:v>
                </c:pt>
                <c:pt idx="1">
                  <c:v>394.29009083670724</c:v>
                </c:pt>
                <c:pt idx="2">
                  <c:v>141.40186575246662</c:v>
                </c:pt>
                <c:pt idx="3">
                  <c:v>128.47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38-476B-8945-669531B956E8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Areas!$P$228</c:f>
              <c:numCache>
                <c:formatCode>0.00</c:formatCode>
                <c:ptCount val="1"/>
                <c:pt idx="0">
                  <c:v>529.6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38-476B-8945-669531B956E8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Areas!$Q$228</c:f>
              <c:numCache>
                <c:formatCode>0.00</c:formatCode>
                <c:ptCount val="1"/>
                <c:pt idx="0">
                  <c:v>529.6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38-476B-8945-669531B956E8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Areas!$G$228:$O$228</c:f>
              <c:numCache>
                <c:formatCode>0.00</c:formatCode>
                <c:ptCount val="9"/>
                <c:pt idx="0">
                  <c:v>0</c:v>
                </c:pt>
                <c:pt idx="1">
                  <c:v>24.945072900484419</c:v>
                </c:pt>
                <c:pt idx="2">
                  <c:v>17.048122447817097</c:v>
                </c:pt>
                <c:pt idx="3">
                  <c:v>21.739840069695919</c:v>
                </c:pt>
                <c:pt idx="4">
                  <c:v>5.202696768816117</c:v>
                </c:pt>
                <c:pt idx="5">
                  <c:v>12.356404825938277</c:v>
                </c:pt>
                <c:pt idx="6">
                  <c:v>83.289600950779445</c:v>
                </c:pt>
                <c:pt idx="7">
                  <c:v>132.52940965564628</c:v>
                </c:pt>
                <c:pt idx="8">
                  <c:v>214.42543111477855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38-476B-8945-669531B95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2.2</a:t>
            </a:r>
            <a:r>
              <a:rPr lang="en-US" baseline="0"/>
              <a:t> - Commissary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Areas!$C$228:$F$228</c:f>
              <c:numCache>
                <c:formatCode>0.00</c:formatCode>
                <c:ptCount val="4"/>
                <c:pt idx="0">
                  <c:v>394.29009083670724</c:v>
                </c:pt>
                <c:pt idx="1">
                  <c:v>394.29009083670724</c:v>
                </c:pt>
                <c:pt idx="2">
                  <c:v>141.40186575246662</c:v>
                </c:pt>
                <c:pt idx="3">
                  <c:v>128.47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7F-4535-B28B-B6A6A477CF60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Areas!$P$228</c:f>
              <c:numCache>
                <c:formatCode>0.00</c:formatCode>
                <c:ptCount val="1"/>
                <c:pt idx="0">
                  <c:v>529.6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7F-4535-B28B-B6A6A477CF60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Areas!$Q$228</c:f>
              <c:numCache>
                <c:formatCode>0.00</c:formatCode>
                <c:ptCount val="1"/>
                <c:pt idx="0">
                  <c:v>529.6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7F-4535-B28B-B6A6A477CF60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Areas!$G$9:$O$9</c:f>
              <c:numCache>
                <c:formatCode>0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6">
                  <c:v>86</c:v>
                </c:pt>
                <c:pt idx="7">
                  <c:v>109</c:v>
                </c:pt>
                <c:pt idx="8">
                  <c:v>186</c:v>
                </c:pt>
              </c:numCache>
            </c:numRef>
          </c:xVal>
          <c:yVal>
            <c:numRef>
              <c:f>Areas!$G$228:$O$228</c:f>
              <c:numCache>
                <c:formatCode>0.00</c:formatCode>
                <c:ptCount val="9"/>
                <c:pt idx="0">
                  <c:v>0</c:v>
                </c:pt>
                <c:pt idx="1">
                  <c:v>24.945072900484419</c:v>
                </c:pt>
                <c:pt idx="2">
                  <c:v>17.048122447817097</c:v>
                </c:pt>
                <c:pt idx="3">
                  <c:v>21.739840069695919</c:v>
                </c:pt>
                <c:pt idx="4">
                  <c:v>5.202696768816117</c:v>
                </c:pt>
                <c:pt idx="5">
                  <c:v>12.356404825938277</c:v>
                </c:pt>
                <c:pt idx="6">
                  <c:v>83.289600950779445</c:v>
                </c:pt>
                <c:pt idx="7">
                  <c:v>132.52940965564628</c:v>
                </c:pt>
                <c:pt idx="8">
                  <c:v>214.42543111477855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7F-4535-B28B-B6A6A477C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2.3</a:t>
            </a:r>
            <a:r>
              <a:rPr lang="en-US" baseline="0"/>
              <a:t> - Medical &amp; Dental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Areas!$C$269:$F$269</c:f>
              <c:numCache>
                <c:formatCode>0.00</c:formatCode>
                <c:ptCount val="4"/>
                <c:pt idx="0">
                  <c:v>65.033709610201456</c:v>
                </c:pt>
                <c:pt idx="1">
                  <c:v>47.381702716003922</c:v>
                </c:pt>
                <c:pt idx="2">
                  <c:v>56.207706163102699</c:v>
                </c:pt>
                <c:pt idx="3">
                  <c:v>52.58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AD-4BF9-AE17-1263E1DD8BAE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Areas!$P$269</c:f>
              <c:numCache>
                <c:formatCode>0.00</c:formatCode>
                <c:ptCount val="1"/>
                <c:pt idx="0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AD-4BF9-AE17-1263E1DD8BAE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Areas!$Q$269</c:f>
              <c:numCache>
                <c:formatCode>0.00</c:formatCode>
                <c:ptCount val="1"/>
                <c:pt idx="0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AD-4BF9-AE17-1263E1DD8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2.3</a:t>
            </a:r>
            <a:r>
              <a:rPr lang="en-US" baseline="0"/>
              <a:t> - Medical &amp; Dental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Areas!$C$269:$F$269</c:f>
              <c:numCache>
                <c:formatCode>0.00</c:formatCode>
                <c:ptCount val="4"/>
                <c:pt idx="0">
                  <c:v>65.033709610201456</c:v>
                </c:pt>
                <c:pt idx="1">
                  <c:v>47.381702716003922</c:v>
                </c:pt>
                <c:pt idx="2">
                  <c:v>56.207706163102699</c:v>
                </c:pt>
                <c:pt idx="3">
                  <c:v>52.58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70-46FC-9A02-C848E7701712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Areas!$P$269</c:f>
              <c:numCache>
                <c:formatCode>0.00</c:formatCode>
                <c:ptCount val="1"/>
                <c:pt idx="0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70-46FC-9A02-C848E7701712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Areas!$Q$269</c:f>
              <c:numCache>
                <c:formatCode>0.00</c:formatCode>
                <c:ptCount val="1"/>
                <c:pt idx="0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C70-46FC-9A02-C848E770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2.4 -</a:t>
            </a:r>
            <a:r>
              <a:rPr lang="en-US" baseline="0"/>
              <a:t> General Services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Areas!$C$295:$F$295</c:f>
              <c:numCache>
                <c:formatCode>0.00</c:formatCode>
                <c:ptCount val="4"/>
                <c:pt idx="0">
                  <c:v>125.97958604490455</c:v>
                </c:pt>
                <c:pt idx="1">
                  <c:v>115.29547660894288</c:v>
                </c:pt>
                <c:pt idx="2">
                  <c:v>27.778684533500339</c:v>
                </c:pt>
                <c:pt idx="3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C5-4975-9ACA-684A2670D1AD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Areas!$P$295</c:f>
              <c:numCache>
                <c:formatCode>0.00</c:formatCode>
                <c:ptCount val="1"/>
                <c:pt idx="0">
                  <c:v>151.30000000000001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C5-4975-9ACA-684A2670D1AD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Areas!$Q$295</c:f>
              <c:numCache>
                <c:formatCode>0.00</c:formatCode>
                <c:ptCount val="1"/>
                <c:pt idx="0">
                  <c:v>151.30000000000001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C5-4975-9ACA-684A2670D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2.4 -</a:t>
            </a:r>
            <a:r>
              <a:rPr lang="en-US" baseline="0"/>
              <a:t> General Services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Areas!$C$295:$F$295</c:f>
              <c:numCache>
                <c:formatCode>0.00</c:formatCode>
                <c:ptCount val="4"/>
                <c:pt idx="0">
                  <c:v>125.97958604490455</c:v>
                </c:pt>
                <c:pt idx="1">
                  <c:v>115.29547660894288</c:v>
                </c:pt>
                <c:pt idx="2">
                  <c:v>27.778684533500339</c:v>
                </c:pt>
                <c:pt idx="3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F2-46A7-B2FE-F9A099B5BF39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Areas!$P$295</c:f>
              <c:numCache>
                <c:formatCode>0.00</c:formatCode>
                <c:ptCount val="1"/>
                <c:pt idx="0">
                  <c:v>151.30000000000001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F2-46A7-B2FE-F9A099B5BF39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Areas!$Q$295</c:f>
              <c:numCache>
                <c:formatCode>0.00</c:formatCode>
                <c:ptCount val="1"/>
                <c:pt idx="0">
                  <c:v>151.30000000000001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F2-46A7-B2FE-F9A099B5B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2.5 -</a:t>
            </a:r>
            <a:r>
              <a:rPr lang="en-US" baseline="0"/>
              <a:t> Personnel Stores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Areas!$C$316:$F$316</c:f>
              <c:numCache>
                <c:formatCode>0.00</c:formatCode>
                <c:ptCount val="4"/>
                <c:pt idx="0">
                  <c:v>60.109728739714775</c:v>
                </c:pt>
                <c:pt idx="1">
                  <c:v>48.682376908207949</c:v>
                </c:pt>
                <c:pt idx="2">
                  <c:v>6.2246550626907116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C-42AC-A0B0-1B11447C598F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Areas!$P$316</c:f>
              <c:numCache>
                <c:formatCode>0.00</c:formatCode>
                <c:ptCount val="1"/>
                <c:pt idx="0">
                  <c:v>45.7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C-42AC-A0B0-1B11447C598F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Areas!$Q$316</c:f>
              <c:numCache>
                <c:formatCode>0.00</c:formatCode>
                <c:ptCount val="1"/>
                <c:pt idx="0">
                  <c:v>45.7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3C-42AC-A0B0-1B11447C598F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Areas!$G$316:$O$316</c:f>
              <c:numCache>
                <c:formatCode>0.00</c:formatCode>
                <c:ptCount val="9"/>
                <c:pt idx="0">
                  <c:v>15.700995605891496</c:v>
                </c:pt>
                <c:pt idx="1">
                  <c:v>4.5059070229925302</c:v>
                </c:pt>
                <c:pt idx="2">
                  <c:v>4.8310755710435371</c:v>
                </c:pt>
                <c:pt idx="3">
                  <c:v>5.9923918140828487</c:v>
                </c:pt>
                <c:pt idx="4">
                  <c:v>14.400321413687466</c:v>
                </c:pt>
                <c:pt idx="5">
                  <c:v>18.395249289742701</c:v>
                </c:pt>
                <c:pt idx="6">
                  <c:v>33.236870875785108</c:v>
                </c:pt>
                <c:pt idx="7">
                  <c:v>57.880001553079303</c:v>
                </c:pt>
                <c:pt idx="8">
                  <c:v>78.040451532241761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3C-42AC-A0B0-1B11447C5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2.5 -</a:t>
            </a:r>
            <a:r>
              <a:rPr lang="en-US" baseline="0"/>
              <a:t> Personnel Stores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Areas!$C$316:$F$316</c:f>
              <c:numCache>
                <c:formatCode>0.00</c:formatCode>
                <c:ptCount val="4"/>
                <c:pt idx="0">
                  <c:v>60.109728739714775</c:v>
                </c:pt>
                <c:pt idx="1">
                  <c:v>48.682376908207949</c:v>
                </c:pt>
                <c:pt idx="2">
                  <c:v>6.2246550626907116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0-4F6E-80AF-F792CB4D6528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Areas!$P$316</c:f>
              <c:numCache>
                <c:formatCode>0.00</c:formatCode>
                <c:ptCount val="1"/>
                <c:pt idx="0">
                  <c:v>45.7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0-4F6E-80AF-F792CB4D6528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Areas!$Q$316</c:f>
              <c:numCache>
                <c:formatCode>0.00</c:formatCode>
                <c:ptCount val="1"/>
                <c:pt idx="0">
                  <c:v>45.7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B0-4F6E-80AF-F792CB4D6528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Areas!$G$9:$O$9</c:f>
              <c:numCache>
                <c:formatCode>0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6">
                  <c:v>86</c:v>
                </c:pt>
                <c:pt idx="7">
                  <c:v>109</c:v>
                </c:pt>
                <c:pt idx="8">
                  <c:v>186</c:v>
                </c:pt>
              </c:numCache>
            </c:numRef>
          </c:xVal>
          <c:yVal>
            <c:numRef>
              <c:f>Areas!$G$316:$O$316</c:f>
              <c:numCache>
                <c:formatCode>0.00</c:formatCode>
                <c:ptCount val="9"/>
                <c:pt idx="0">
                  <c:v>15.700995605891496</c:v>
                </c:pt>
                <c:pt idx="1">
                  <c:v>4.5059070229925302</c:v>
                </c:pt>
                <c:pt idx="2">
                  <c:v>4.8310755710435371</c:v>
                </c:pt>
                <c:pt idx="3">
                  <c:v>5.9923918140828487</c:v>
                </c:pt>
                <c:pt idx="4">
                  <c:v>14.400321413687466</c:v>
                </c:pt>
                <c:pt idx="5">
                  <c:v>18.395249289742701</c:v>
                </c:pt>
                <c:pt idx="6">
                  <c:v>33.236870875785108</c:v>
                </c:pt>
                <c:pt idx="7">
                  <c:v>57.880001553079303</c:v>
                </c:pt>
                <c:pt idx="8">
                  <c:v>78.040451532241761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B0-4F6E-80AF-F792CB4D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2.6 -</a:t>
            </a:r>
            <a:r>
              <a:rPr lang="en-US" baseline="0"/>
              <a:t> CBR Protection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Areas!$C$336:$F$336</c:f>
              <c:numCache>
                <c:formatCode>0.00</c:formatCode>
                <c:ptCount val="4"/>
                <c:pt idx="0">
                  <c:v>112.41541232620537</c:v>
                </c:pt>
                <c:pt idx="1">
                  <c:v>111.95088582898967</c:v>
                </c:pt>
                <c:pt idx="2">
                  <c:v>15.700995605891496</c:v>
                </c:pt>
                <c:pt idx="3">
                  <c:v>36.08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5D-4090-88F9-93E04D7A21EB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Areas!$P$336</c:f>
              <c:numCache>
                <c:formatCode>0.00</c:formatCode>
                <c:ptCount val="1"/>
                <c:pt idx="0">
                  <c:v>102.9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5D-4090-88F9-93E04D7A21EB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Areas!$Q$336</c:f>
              <c:numCache>
                <c:formatCode>0.00</c:formatCode>
                <c:ptCount val="1"/>
                <c:pt idx="0">
                  <c:v>103.7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5D-4090-88F9-93E04D7A2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2.6 -</a:t>
            </a:r>
            <a:r>
              <a:rPr lang="en-US" baseline="0"/>
              <a:t> CBR Protection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Areas!$C$336:$F$336</c:f>
              <c:numCache>
                <c:formatCode>0.00</c:formatCode>
                <c:ptCount val="4"/>
                <c:pt idx="0">
                  <c:v>112.41541232620537</c:v>
                </c:pt>
                <c:pt idx="1">
                  <c:v>111.95088582898967</c:v>
                </c:pt>
                <c:pt idx="2">
                  <c:v>15.700995605891496</c:v>
                </c:pt>
                <c:pt idx="3">
                  <c:v>36.08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9F-4FCE-B2E5-766A1D15BCA8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Areas!$P$336</c:f>
              <c:numCache>
                <c:formatCode>0.00</c:formatCode>
                <c:ptCount val="1"/>
                <c:pt idx="0">
                  <c:v>102.9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9F-4FCE-B2E5-766A1D15BCA8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Areas!$Q$336</c:f>
              <c:numCache>
                <c:formatCode>0.00</c:formatCode>
                <c:ptCount val="1"/>
                <c:pt idx="0">
                  <c:v>103.7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9F-4FCE-B2E5-766A1D15B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1.1 - Command,</a:t>
            </a:r>
            <a:r>
              <a:rPr lang="en-US" baseline="0"/>
              <a:t> Communications and Surveillance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Areas!$C$12:$F$12</c:f>
              <c:numCache>
                <c:formatCode>0.00</c:formatCode>
                <c:ptCount val="4"/>
                <c:pt idx="0">
                  <c:v>1000.6829803021143</c:v>
                </c:pt>
                <c:pt idx="1">
                  <c:v>893.74898064305444</c:v>
                </c:pt>
                <c:pt idx="2">
                  <c:v>0</c:v>
                </c:pt>
                <c:pt idx="3">
                  <c:v>53.47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6A-4ECA-8262-6E878604A61F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Areas!$P$12</c:f>
              <c:numCache>
                <c:formatCode>0.00</c:formatCode>
                <c:ptCount val="1"/>
                <c:pt idx="0">
                  <c:v>179.7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6A-4ECA-8262-6E878604A61F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Areas!$Q$12</c:f>
              <c:numCache>
                <c:formatCode>0.00</c:formatCode>
                <c:ptCount val="1"/>
                <c:pt idx="0">
                  <c:v>181.9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6A-4ECA-8262-6E878604A61F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Areas!$G$12:$O$12</c:f>
              <c:numCache>
                <c:formatCode>0.00</c:formatCode>
                <c:ptCount val="9"/>
                <c:pt idx="0">
                  <c:v>0</c:v>
                </c:pt>
                <c:pt idx="1">
                  <c:v>9.0118140459850604</c:v>
                </c:pt>
                <c:pt idx="2">
                  <c:v>11.24154123262054</c:v>
                </c:pt>
                <c:pt idx="3">
                  <c:v>12.96028927231872</c:v>
                </c:pt>
                <c:pt idx="5">
                  <c:v>0</c:v>
                </c:pt>
                <c:pt idx="6">
                  <c:v>45.198428179090016</c:v>
                </c:pt>
                <c:pt idx="7">
                  <c:v>197.28440336751831</c:v>
                </c:pt>
                <c:pt idx="8">
                  <c:v>237.65175597556478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6A-4ECA-8262-6E878604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3 - Ship Support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Areas!$C$355:$F$355</c:f>
              <c:numCache>
                <c:formatCode>0.00</c:formatCode>
                <c:ptCount val="4"/>
                <c:pt idx="0">
                  <c:v>1998.6717069203773</c:v>
                </c:pt>
                <c:pt idx="1">
                  <c:v>2107.5567178677429</c:v>
                </c:pt>
                <c:pt idx="2">
                  <c:v>903.50403708458464</c:v>
                </c:pt>
                <c:pt idx="3">
                  <c:v>519.31928845549999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66-48BA-8DEC-27FEB3219DE8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Areas!$P$355</c:f>
              <c:numCache>
                <c:formatCode>General</c:formatCode>
                <c:ptCount val="1"/>
                <c:pt idx="0">
                  <c:v>2828.3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66-48BA-8DEC-27FEB3219DE8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Areas!$Q$355</c:f>
              <c:numCache>
                <c:formatCode>General</c:formatCode>
                <c:ptCount val="1"/>
                <c:pt idx="0">
                  <c:v>2847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66-48BA-8DEC-27FEB3219DE8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Areas!$G$355:$O$355</c:f>
              <c:numCache>
                <c:formatCode>0.00</c:formatCode>
                <c:ptCount val="9"/>
                <c:pt idx="0">
                  <c:v>0</c:v>
                </c:pt>
                <c:pt idx="1">
                  <c:v>41.714479449972082</c:v>
                </c:pt>
                <c:pt idx="2">
                  <c:v>50.819198795400297</c:v>
                </c:pt>
                <c:pt idx="3">
                  <c:v>38.091172771689429</c:v>
                </c:pt>
                <c:pt idx="4">
                  <c:v>72.280322966766775</c:v>
                </c:pt>
                <c:pt idx="5">
                  <c:v>95.135026629780427</c:v>
                </c:pt>
                <c:pt idx="6">
                  <c:v>286.14832228488643</c:v>
                </c:pt>
                <c:pt idx="7">
                  <c:v>465.03747636266206</c:v>
                </c:pt>
                <c:pt idx="8">
                  <c:v>778.26769343522528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66-48BA-8DEC-27FEB3219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3.1 - Steering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Areas!$C$356:$F$356</c:f>
              <c:numCache>
                <c:formatCode>0.00</c:formatCode>
                <c:ptCount val="4"/>
                <c:pt idx="0">
                  <c:v>90.118140459850594</c:v>
                </c:pt>
                <c:pt idx="1">
                  <c:v>90.118140459850594</c:v>
                </c:pt>
                <c:pt idx="2">
                  <c:v>106.46947316184411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F7-4DE3-8A71-FBAA4AA24F15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Areas!$P$356</c:f>
              <c:numCache>
                <c:formatCode>General</c:formatCode>
                <c:ptCount val="1"/>
                <c:pt idx="0">
                  <c:v>105.4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F7-4DE3-8A71-FBAA4AA24F15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Areas!$Q$356</c:f>
              <c:numCache>
                <c:formatCode>General</c:formatCode>
                <c:ptCount val="1"/>
                <c:pt idx="0">
                  <c:v>105.4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F7-4DE3-8A71-FBAA4AA24F15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Areas!$G$356:$O$356</c:f>
              <c:numCache>
                <c:formatCode>0.00</c:formatCode>
                <c:ptCount val="9"/>
                <c:pt idx="0">
                  <c:v>0</c:v>
                </c:pt>
                <c:pt idx="1">
                  <c:v>19.974639380276162</c:v>
                </c:pt>
                <c:pt idx="2">
                  <c:v>19.51011288306044</c:v>
                </c:pt>
                <c:pt idx="3">
                  <c:v>20.067544679719308</c:v>
                </c:pt>
                <c:pt idx="4">
                  <c:v>0</c:v>
                </c:pt>
                <c:pt idx="5">
                  <c:v>0</c:v>
                </c:pt>
                <c:pt idx="6">
                  <c:v>58.530338649181317</c:v>
                </c:pt>
                <c:pt idx="7">
                  <c:v>95.50664782755301</c:v>
                </c:pt>
                <c:pt idx="8">
                  <c:v>160.8190733360839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F7-4DE3-8A71-FBAA4AA2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3.2 - Damage Control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Areas!$C$361:$F$361</c:f>
              <c:numCache>
                <c:formatCode>0.00</c:formatCode>
                <c:ptCount val="4"/>
                <c:pt idx="0">
                  <c:v>43.758396037721269</c:v>
                </c:pt>
                <c:pt idx="1">
                  <c:v>109.53534804346789</c:v>
                </c:pt>
                <c:pt idx="2">
                  <c:v>19.603018182503583</c:v>
                </c:pt>
                <c:pt idx="3">
                  <c:v>16.79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3B-4A66-8FE3-9EFBCCFDDA86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Areas!$P$361</c:f>
              <c:numCache>
                <c:formatCode>General</c:formatCode>
                <c:ptCount val="1"/>
                <c:pt idx="0">
                  <c:v>96.2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3B-4A66-8FE3-9EFBCCFDDA86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Areas!$Q$361</c:f>
              <c:numCache>
                <c:formatCode>General</c:formatCode>
                <c:ptCount val="1"/>
                <c:pt idx="0">
                  <c:v>96.7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3B-4A66-8FE3-9EFBCCFDD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3.3 - Ship Administration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Areas!$C$372:$F$372</c:f>
              <c:numCache>
                <c:formatCode>0.00</c:formatCode>
                <c:ptCount val="4"/>
                <c:pt idx="0">
                  <c:v>150.59949039733795</c:v>
                </c:pt>
                <c:pt idx="1">
                  <c:v>201.23287859385195</c:v>
                </c:pt>
                <c:pt idx="2">
                  <c:v>9.4763405432007843</c:v>
                </c:pt>
                <c:pt idx="3">
                  <c:v>14.88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4C-45A7-A8D5-254C8304C17E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Areas!$P$372</c:f>
              <c:numCache>
                <c:formatCode>General</c:formatCode>
                <c:ptCount val="1"/>
                <c:pt idx="0">
                  <c:v>184.9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4C-45A7-A8D5-254C8304C17E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Areas!$Q$372</c:f>
              <c:numCache>
                <c:formatCode>General</c:formatCode>
                <c:ptCount val="1"/>
                <c:pt idx="0">
                  <c:v>190.5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4C-45A7-A8D5-254C8304C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3.5 - Deck Auxilliaries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Areas!$C$394:$F$394</c:f>
              <c:numCache>
                <c:formatCode>0.00</c:formatCode>
                <c:ptCount val="4"/>
                <c:pt idx="0">
                  <c:v>43.944206636607554</c:v>
                </c:pt>
                <c:pt idx="1">
                  <c:v>44.501638433266429</c:v>
                </c:pt>
                <c:pt idx="2">
                  <c:v>8.4543822493261906</c:v>
                </c:pt>
                <c:pt idx="3">
                  <c:v>69.42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C1-43F0-BF9A-B75515BA9133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Areas!$P$394</c:f>
              <c:numCache>
                <c:formatCode>General</c:formatCode>
                <c:ptCount val="1"/>
                <c:pt idx="0">
                  <c:v>99.5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C1-43F0-BF9A-B75515BA9133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Areas!$Q$394</c:f>
              <c:numCache>
                <c:formatCode>General</c:formatCode>
                <c:ptCount val="1"/>
                <c:pt idx="0">
                  <c:v>100.2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C1-43F0-BF9A-B75515BA9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3.6 - Ship Maintenance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Areas!$C$403:$F$403</c:f>
              <c:numCache>
                <c:formatCode>0.00</c:formatCode>
                <c:ptCount val="4"/>
                <c:pt idx="0">
                  <c:v>109.16372684569531</c:v>
                </c:pt>
                <c:pt idx="1">
                  <c:v>129.23127152541463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F5-4A49-99D9-C0431AD313DD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Areas!$P$403</c:f>
              <c:numCache>
                <c:formatCode>General</c:formatCode>
                <c:ptCount val="1"/>
                <c:pt idx="0">
                  <c:v>219.1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F5-4A49-99D9-C0431AD313DD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Areas!$Q$403</c:f>
              <c:numCache>
                <c:formatCode>General</c:formatCode>
                <c:ptCount val="1"/>
                <c:pt idx="0">
                  <c:v>230.8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F5-4A49-99D9-C0431AD313DD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Areas!$G$403:$O$403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25.827673245194294</c:v>
                </c:pt>
                <c:pt idx="7">
                  <c:v>51.283725292616012</c:v>
                </c:pt>
                <c:pt idx="8">
                  <c:v>85.287064888807066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F5-4A49-99D9-C0431AD31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3.7 - Stowage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Areas!$C$417:$F$417</c:f>
              <c:numCache>
                <c:formatCode>0.00</c:formatCode>
                <c:ptCount val="4"/>
                <c:pt idx="0">
                  <c:v>455.42177787029652</c:v>
                </c:pt>
                <c:pt idx="1">
                  <c:v>453.56367188143366</c:v>
                </c:pt>
                <c:pt idx="2">
                  <c:v>89.467803363748573</c:v>
                </c:pt>
                <c:pt idx="3">
                  <c:v>13.34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3F-41A2-897F-2EBC10C714DD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Areas!$P$417</c:f>
              <c:numCache>
                <c:formatCode>General</c:formatCode>
                <c:ptCount val="1"/>
                <c:pt idx="0">
                  <c:v>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3F-41A2-897F-2EBC10C714DD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Areas!$Q$417</c:f>
              <c:numCache>
                <c:formatCode>General</c:formatCode>
                <c:ptCount val="1"/>
                <c:pt idx="0">
                  <c:v>556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3F-41A2-897F-2EBC10C714DD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Areas!$G$417:$O$417</c:f>
              <c:numCache>
                <c:formatCode>0.00</c:formatCode>
                <c:ptCount val="9"/>
                <c:pt idx="0">
                  <c:v>0</c:v>
                </c:pt>
                <c:pt idx="1">
                  <c:v>5.6207706163102698</c:v>
                </c:pt>
                <c:pt idx="2">
                  <c:v>14.679037312016902</c:v>
                </c:pt>
                <c:pt idx="3">
                  <c:v>4.4594543732709573</c:v>
                </c:pt>
                <c:pt idx="4">
                  <c:v>0</c:v>
                </c:pt>
                <c:pt idx="5">
                  <c:v>0</c:v>
                </c:pt>
                <c:pt idx="6">
                  <c:v>109.16372684569531</c:v>
                </c:pt>
                <c:pt idx="7">
                  <c:v>106.74818906017354</c:v>
                </c:pt>
                <c:pt idx="8">
                  <c:v>249.72944490317363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3F-41A2-897F-2EBC10C71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3.8 - Access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Areas!$C$450:$F$450</c:f>
              <c:numCache>
                <c:formatCode>0.00</c:formatCode>
                <c:ptCount val="4"/>
                <c:pt idx="0">
                  <c:v>1023.5376839651279</c:v>
                </c:pt>
                <c:pt idx="1">
                  <c:v>1004.39919227984</c:v>
                </c:pt>
                <c:pt idx="2">
                  <c:v>648.29317951426549</c:v>
                </c:pt>
                <c:pt idx="3">
                  <c:v>398.74928845550005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14-470B-822D-AD18ED700FF9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Areas!$P$450</c:f>
              <c:numCache>
                <c:formatCode>General</c:formatCode>
                <c:ptCount val="1"/>
                <c:pt idx="0">
                  <c:v>1547.4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14-470B-822D-AD18ED700FF9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Areas!$Q$450</c:f>
              <c:numCache>
                <c:formatCode>General</c:formatCode>
                <c:ptCount val="1"/>
                <c:pt idx="0">
                  <c:v>1547.4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14-470B-822D-AD18ED700FF9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Areas!$G$450:$O$450</c:f>
              <c:numCache>
                <c:formatCode>0.00</c:formatCode>
                <c:ptCount val="9"/>
                <c:pt idx="0">
                  <c:v>0</c:v>
                </c:pt>
                <c:pt idx="1">
                  <c:v>16.119069453385649</c:v>
                </c:pt>
                <c:pt idx="2">
                  <c:v>16.630048600322947</c:v>
                </c:pt>
                <c:pt idx="3">
                  <c:v>13.564173718699163</c:v>
                </c:pt>
                <c:pt idx="4">
                  <c:v>72.280322966766775</c:v>
                </c:pt>
                <c:pt idx="5">
                  <c:v>95.135026629780427</c:v>
                </c:pt>
                <c:pt idx="6">
                  <c:v>92.626583544815517</c:v>
                </c:pt>
                <c:pt idx="7">
                  <c:v>211.49891418231948</c:v>
                </c:pt>
                <c:pt idx="8">
                  <c:v>282.43211030716066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14-470B-822D-AD18ED700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3.9 - Tanks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Areas!$C$457:$F$457</c:f>
              <c:numCache>
                <c:formatCode>0.00</c:formatCode>
                <c:ptCount val="4"/>
                <c:pt idx="0">
                  <c:v>82.128284707740136</c:v>
                </c:pt>
                <c:pt idx="1">
                  <c:v>74.974576650617976</c:v>
                </c:pt>
                <c:pt idx="2">
                  <c:v>21.739840069695916</c:v>
                </c:pt>
                <c:pt idx="3">
                  <c:v>6.14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A8-4734-94F9-92BF8FE4FEE1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Areas!$P$457</c:f>
              <c:numCache>
                <c:formatCode>General</c:formatCode>
                <c:ptCount val="1"/>
                <c:pt idx="0">
                  <c:v>19.600000000000001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A8-4734-94F9-92BF8FE4FEE1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Areas!$Q$457</c:f>
              <c:numCache>
                <c:formatCode>General</c:formatCode>
                <c:ptCount val="1"/>
                <c:pt idx="0">
                  <c:v>19.600000000000001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A8-4734-94F9-92BF8FE4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4 - Ship Machinery System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Areas!$C$488:$F$488</c:f>
              <c:numCache>
                <c:formatCode>0.00</c:formatCode>
                <c:ptCount val="4"/>
                <c:pt idx="0">
                  <c:v>1081.3247802187639</c:v>
                </c:pt>
                <c:pt idx="1">
                  <c:v>911.40098753725192</c:v>
                </c:pt>
                <c:pt idx="2">
                  <c:v>356.19891806501778</c:v>
                </c:pt>
                <c:pt idx="3">
                  <c:v>491.18900000000002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9D-4B5E-B365-315FDFF42D92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Areas!$P$488</c:f>
              <c:numCache>
                <c:formatCode>General</c:formatCode>
                <c:ptCount val="1"/>
                <c:pt idx="0">
                  <c:v>409.3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9D-4B5E-B365-315FDFF42D92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Areas!$Q$488</c:f>
              <c:numCache>
                <c:formatCode>General</c:formatCode>
                <c:ptCount val="1"/>
                <c:pt idx="0">
                  <c:v>411.6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9D-4B5E-B365-315FDFF42D92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Areas!$G$488:$O$488</c:f>
              <c:numCache>
                <c:formatCode>0.00</c:formatCode>
                <c:ptCount val="9"/>
                <c:pt idx="0">
                  <c:v>27.174800087119898</c:v>
                </c:pt>
                <c:pt idx="1">
                  <c:v>62.618171824679692</c:v>
                </c:pt>
                <c:pt idx="2">
                  <c:v>74.417144853959101</c:v>
                </c:pt>
                <c:pt idx="3">
                  <c:v>98.247354161125784</c:v>
                </c:pt>
                <c:pt idx="4">
                  <c:v>0</c:v>
                </c:pt>
                <c:pt idx="5">
                  <c:v>0</c:v>
                </c:pt>
                <c:pt idx="6">
                  <c:v>408.08652780401417</c:v>
                </c:pt>
                <c:pt idx="7">
                  <c:v>754.48393677778017</c:v>
                </c:pt>
                <c:pt idx="8">
                  <c:v>841.0716758587912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9D-4B5E-B365-315FDFF4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1.2 - Weapons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Areas!$C$59:$F$59</c:f>
              <c:numCache>
                <c:formatCode>0.00</c:formatCode>
                <c:ptCount val="4"/>
                <c:pt idx="0">
                  <c:v>415.75121500807364</c:v>
                </c:pt>
                <c:pt idx="1">
                  <c:v>127.28026023710858</c:v>
                </c:pt>
                <c:pt idx="2">
                  <c:v>0</c:v>
                </c:pt>
                <c:pt idx="3">
                  <c:v>140.5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3-4E04-AA0D-323FE4AE1523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Areas!$P$59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23-4E04-AA0D-323FE4AE1523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Areas!$Q$59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623-4E04-AA0D-323FE4AE1523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Areas!$G$6:$Q$6</c:f>
              <c:numCache>
                <c:formatCode>0.00</c:formatCode>
                <c:ptCount val="11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  <c:pt idx="9">
                  <c:v>550.64751480000007</c:v>
                </c:pt>
                <c:pt idx="10">
                  <c:v>550.64751480000007</c:v>
                </c:pt>
              </c:numCache>
            </c:numRef>
          </c:xVal>
          <c:yVal>
            <c:numRef>
              <c:f>Areas!$G$59:$O$59</c:f>
              <c:numCache>
                <c:formatCode>0.00</c:formatCode>
                <c:ptCount val="9"/>
                <c:pt idx="0">
                  <c:v>0</c:v>
                </c:pt>
                <c:pt idx="1">
                  <c:v>0.37162119777257979</c:v>
                </c:pt>
                <c:pt idx="2">
                  <c:v>4.1807384749415224</c:v>
                </c:pt>
                <c:pt idx="3">
                  <c:v>7.0608027576790162</c:v>
                </c:pt>
                <c:pt idx="5">
                  <c:v>41.993195348301519</c:v>
                </c:pt>
                <c:pt idx="6">
                  <c:v>76.786229989759306</c:v>
                </c:pt>
                <c:pt idx="7">
                  <c:v>41.807384749415228</c:v>
                </c:pt>
                <c:pt idx="8">
                  <c:v>116.68905610059005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623-4E04-AA0D-323FE4AE1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4.1 - Propulsion System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Areas!$C$489:$F$489</c:f>
              <c:numCache>
                <c:formatCode>0.00</c:formatCode>
                <c:ptCount val="4"/>
                <c:pt idx="0">
                  <c:v>663.90126982071376</c:v>
                </c:pt>
                <c:pt idx="1">
                  <c:v>613.45369222308614</c:v>
                </c:pt>
                <c:pt idx="2">
                  <c:v>0</c:v>
                </c:pt>
                <c:pt idx="3">
                  <c:v>107.75999999999999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9A-4148-A88F-181A8FF22A8A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Areas!$P$489</c:f>
              <c:numCache>
                <c:formatCode>General</c:formatCode>
                <c:ptCount val="1"/>
                <c:pt idx="0">
                  <c:v>636.4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9A-4148-A88F-181A8FF22A8A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Areas!$Q$489</c:f>
              <c:numCache>
                <c:formatCode>General</c:formatCode>
                <c:ptCount val="1"/>
                <c:pt idx="0">
                  <c:v>636.4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9A-4148-A88F-181A8FF22A8A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Areas!$G$489:$O$489</c:f>
              <c:numCache>
                <c:formatCode>0.00</c:formatCode>
                <c:ptCount val="9"/>
                <c:pt idx="0">
                  <c:v>16.258427402550367</c:v>
                </c:pt>
                <c:pt idx="1">
                  <c:v>45.988123224356748</c:v>
                </c:pt>
                <c:pt idx="2">
                  <c:v>48.775282207651095</c:v>
                </c:pt>
                <c:pt idx="3">
                  <c:v>40.971237054426922</c:v>
                </c:pt>
                <c:pt idx="4">
                  <c:v>0</c:v>
                </c:pt>
                <c:pt idx="5">
                  <c:v>0</c:v>
                </c:pt>
                <c:pt idx="6">
                  <c:v>193.93981258756509</c:v>
                </c:pt>
                <c:pt idx="7">
                  <c:v>370.04180768204634</c:v>
                </c:pt>
                <c:pt idx="8">
                  <c:v>471.86601587173317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9A-4148-A88F-181A8FF22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4.2 - Propulsor &amp; Transmission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Areas!$C$510:$F$510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168.47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F3-445D-960B-FECAA33D7C3D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Areas!$P$510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2F3-445D-960B-FECAA33D7C3D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Areas!$Q$510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2F3-445D-960B-FECAA33D7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4.3 - Auxilliary</a:t>
            </a:r>
            <a:r>
              <a:rPr lang="en-US" baseline="0"/>
              <a:t> Machinery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Areas!$C$517:$F$517</c:f>
              <c:numCache>
                <c:formatCode>0.00</c:formatCode>
                <c:ptCount val="4"/>
                <c:pt idx="0">
                  <c:v>417.42351039805021</c:v>
                </c:pt>
                <c:pt idx="1">
                  <c:v>297.94729531416579</c:v>
                </c:pt>
                <c:pt idx="2">
                  <c:v>356.19891806501778</c:v>
                </c:pt>
                <c:pt idx="3">
                  <c:v>214.959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92-41D0-B9E1-FC1F67EDA53D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Areas!$P$517</c:f>
              <c:numCache>
                <c:formatCode>General</c:formatCode>
                <c:ptCount val="1"/>
                <c:pt idx="0">
                  <c:v>-227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92-41D0-B9E1-FC1F67EDA53D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Areas!$Q$517</c:f>
              <c:numCache>
                <c:formatCode>General</c:formatCode>
                <c:ptCount val="1"/>
                <c:pt idx="0">
                  <c:v>-224.7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92-41D0-B9E1-FC1F67EDA53D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Areas!$G$517:$O$517</c:f>
              <c:numCache>
                <c:formatCode>0.00</c:formatCode>
                <c:ptCount val="9"/>
                <c:pt idx="0">
                  <c:v>10.916372684569531</c:v>
                </c:pt>
                <c:pt idx="1">
                  <c:v>16.630048600322947</c:v>
                </c:pt>
                <c:pt idx="2">
                  <c:v>25.641862646308006</c:v>
                </c:pt>
                <c:pt idx="3">
                  <c:v>57.276117106698862</c:v>
                </c:pt>
                <c:pt idx="4">
                  <c:v>0</c:v>
                </c:pt>
                <c:pt idx="5">
                  <c:v>0</c:v>
                </c:pt>
                <c:pt idx="6">
                  <c:v>214.14671521644911</c:v>
                </c:pt>
                <c:pt idx="7">
                  <c:v>384.44212909573378</c:v>
                </c:pt>
                <c:pt idx="8">
                  <c:v>369.20565998705803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92-41D0-B9E1-FC1F67EDA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1.3 - Aviation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Areas!$C$86:$F$86</c:f>
              <c:numCache>
                <c:formatCode>0.00</c:formatCode>
                <c:ptCount val="4"/>
                <c:pt idx="0">
                  <c:v>436.00457028667927</c:v>
                </c:pt>
                <c:pt idx="1">
                  <c:v>365.86106920710483</c:v>
                </c:pt>
                <c:pt idx="2">
                  <c:v>278.99461422776426</c:v>
                </c:pt>
                <c:pt idx="3">
                  <c:v>69.02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FA-48D6-ABBD-F1207AECBBBF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Areas!$P$86</c:f>
              <c:numCache>
                <c:formatCode>0.00</c:formatCode>
                <c:ptCount val="1"/>
                <c:pt idx="0">
                  <c:v>439.1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FA-48D6-ABBD-F1207AECBBBF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Areas!$Q$86</c:f>
              <c:numCache>
                <c:formatCode>0.00</c:formatCode>
                <c:ptCount val="1"/>
                <c:pt idx="0">
                  <c:v>439.1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FA-48D6-ABBD-F1207AECBBBF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Areas!$G$86:$O$86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239.09178811693351</c:v>
                </c:pt>
                <c:pt idx="8">
                  <c:v>44.780354331595866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FA-48D6-ABBD-F1207AECB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1.9 - Small Arms &amp; Pyro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Areas!$C$147:$F$147</c:f>
              <c:numCache>
                <c:formatCode>0.00</c:formatCode>
                <c:ptCount val="4"/>
                <c:pt idx="0">
                  <c:v>19.510112883060437</c:v>
                </c:pt>
                <c:pt idx="1">
                  <c:v>16.537143300879801</c:v>
                </c:pt>
                <c:pt idx="2">
                  <c:v>18.023628091970121</c:v>
                </c:pt>
                <c:pt idx="3">
                  <c:v>12.350000000000001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34-4DA1-8325-6E3950C50348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Areas!$P$147</c:f>
              <c:numCache>
                <c:formatCode>0.00</c:formatCode>
                <c:ptCount val="1"/>
                <c:pt idx="0">
                  <c:v>29.7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534-4DA1-8325-6E3950C50348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Areas!$Q$147</c:f>
              <c:numCache>
                <c:formatCode>0.00</c:formatCode>
                <c:ptCount val="1"/>
                <c:pt idx="0">
                  <c:v>29.7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534-4DA1-8325-6E3950C50348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Areas!$G$147:$O$147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534-4DA1-8325-6E3950C50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2 - Human Support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Areas!$C$157:$F$157</c:f>
              <c:numCache>
                <c:formatCode>0.00</c:formatCode>
                <c:ptCount val="4"/>
                <c:pt idx="0">
                  <c:v>1576.8816474484993</c:v>
                </c:pt>
                <c:pt idx="1">
                  <c:v>1697.3798208262583</c:v>
                </c:pt>
                <c:pt idx="2">
                  <c:v>336.50299458307103</c:v>
                </c:pt>
                <c:pt idx="3">
                  <c:v>241.45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03-40E0-8C03-2F68175C7001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Areas!$P$157</c:f>
              <c:numCache>
                <c:formatCode>0.00</c:formatCode>
                <c:ptCount val="1"/>
                <c:pt idx="0">
                  <c:v>2100.6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03-40E0-8C03-2F68175C7001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Areas!$Q$157</c:f>
              <c:numCache>
                <c:formatCode>0.00</c:formatCode>
                <c:ptCount val="1"/>
                <c:pt idx="0">
                  <c:v>2101.5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03-40E0-8C03-2F68175C7001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Areas!$G$157:$O$157</c:f>
              <c:numCache>
                <c:formatCode>0.00</c:formatCode>
                <c:ptCount val="9"/>
                <c:pt idx="0">
                  <c:v>15.700995605891496</c:v>
                </c:pt>
                <c:pt idx="1">
                  <c:v>66.659552350456494</c:v>
                </c:pt>
                <c:pt idx="2">
                  <c:v>85.8909493351875</c:v>
                </c:pt>
                <c:pt idx="3">
                  <c:v>94.113068335905837</c:v>
                </c:pt>
                <c:pt idx="4">
                  <c:v>108.42048445015014</c:v>
                </c:pt>
                <c:pt idx="5">
                  <c:v>150.13496390012224</c:v>
                </c:pt>
                <c:pt idx="6">
                  <c:v>532.41704478380291</c:v>
                </c:pt>
                <c:pt idx="7">
                  <c:v>719.15669666452425</c:v>
                </c:pt>
                <c:pt idx="8">
                  <c:v>1158.3432734571313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03-40E0-8C03-2F68175C7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2 - Human Support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Areas!$C$157:$F$157</c:f>
              <c:numCache>
                <c:formatCode>0.00</c:formatCode>
                <c:ptCount val="4"/>
                <c:pt idx="0">
                  <c:v>1576.8816474484993</c:v>
                </c:pt>
                <c:pt idx="1">
                  <c:v>1697.3798208262583</c:v>
                </c:pt>
                <c:pt idx="2">
                  <c:v>336.50299458307103</c:v>
                </c:pt>
                <c:pt idx="3">
                  <c:v>241.45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1C-4C1A-B47B-1A19A3B1139C}"/>
            </c:ext>
          </c:extLst>
        </c:ser>
        <c:ser>
          <c:idx val="1"/>
          <c:order val="1"/>
          <c:tx>
            <c:strRef>
              <c:f>Areas!$P$9</c:f>
              <c:strCache>
                <c:ptCount val="1"/>
                <c:pt idx="0">
                  <c:v>390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Areas!$P$157</c:f>
              <c:numCache>
                <c:formatCode>0.00</c:formatCode>
                <c:ptCount val="1"/>
                <c:pt idx="0">
                  <c:v>2100.6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1C-4C1A-B47B-1A19A3B1139C}"/>
            </c:ext>
          </c:extLst>
        </c:ser>
        <c:ser>
          <c:idx val="2"/>
          <c:order val="2"/>
          <c:tx>
            <c:strRef>
              <c:f>Areas!$Q$9</c:f>
              <c:strCache>
                <c:ptCount val="1"/>
                <c:pt idx="0">
                  <c:v>390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Areas!$Q$157</c:f>
              <c:numCache>
                <c:formatCode>0.00</c:formatCode>
                <c:ptCount val="1"/>
                <c:pt idx="0">
                  <c:v>2101.5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1C-4C1A-B47B-1A19A3B1139C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Areas!$G$9:$O$9</c:f>
              <c:numCache>
                <c:formatCode>0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6">
                  <c:v>86</c:v>
                </c:pt>
                <c:pt idx="7">
                  <c:v>109</c:v>
                </c:pt>
                <c:pt idx="8">
                  <c:v>186</c:v>
                </c:pt>
              </c:numCache>
            </c:numRef>
          </c:xVal>
          <c:yVal>
            <c:numRef>
              <c:f>Areas!$G$157:$O$157</c:f>
              <c:numCache>
                <c:formatCode>0.00</c:formatCode>
                <c:ptCount val="9"/>
                <c:pt idx="0">
                  <c:v>15.700995605891496</c:v>
                </c:pt>
                <c:pt idx="1">
                  <c:v>66.659552350456494</c:v>
                </c:pt>
                <c:pt idx="2">
                  <c:v>85.8909493351875</c:v>
                </c:pt>
                <c:pt idx="3">
                  <c:v>94.113068335905837</c:v>
                </c:pt>
                <c:pt idx="4">
                  <c:v>108.42048445015014</c:v>
                </c:pt>
                <c:pt idx="5">
                  <c:v>150.13496390012224</c:v>
                </c:pt>
                <c:pt idx="6">
                  <c:v>532.41704478380291</c:v>
                </c:pt>
                <c:pt idx="7">
                  <c:v>719.15669666452425</c:v>
                </c:pt>
                <c:pt idx="8">
                  <c:v>1158.3432734571313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1C-4C1A-B47B-1A19A3B11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2.1 - Living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Areas!$C$6:$F$6</c:f>
              <c:numCache>
                <c:formatCode>0.00</c:formatCode>
                <c:ptCount val="4"/>
                <c:pt idx="0">
                  <c:v>332.27998317743914</c:v>
                </c:pt>
                <c:pt idx="1">
                  <c:v>328.75259482099079</c:v>
                </c:pt>
                <c:pt idx="2">
                  <c:v>179.92253014071125</c:v>
                </c:pt>
                <c:pt idx="3">
                  <c:v>182.04717730000002</c:v>
                </c:pt>
              </c:numCache>
            </c:numRef>
          </c:xVal>
          <c:yVal>
            <c:numRef>
              <c:f>Areas!$C$158:$F$158</c:f>
              <c:numCache>
                <c:formatCode>0.00</c:formatCode>
                <c:ptCount val="4"/>
                <c:pt idx="0">
                  <c:v>819.05311989076597</c:v>
                </c:pt>
                <c:pt idx="1">
                  <c:v>979.7792879274067</c:v>
                </c:pt>
                <c:pt idx="2">
                  <c:v>87.516792075442538</c:v>
                </c:pt>
                <c:pt idx="3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DC-4537-A200-05ACCA8E0018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Areas!$P$158</c:f>
              <c:numCache>
                <c:formatCode>0.00</c:formatCode>
                <c:ptCount val="1"/>
                <c:pt idx="0">
                  <c:v>1192.8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DC-4537-A200-05ACCA8E0018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Areas!$Q$6</c:f>
              <c:numCache>
                <c:formatCode>0.00</c:formatCode>
                <c:ptCount val="1"/>
                <c:pt idx="0">
                  <c:v>550.64751480000007</c:v>
                </c:pt>
              </c:numCache>
            </c:numRef>
          </c:xVal>
          <c:yVal>
            <c:numRef>
              <c:f>Areas!$Q$158</c:f>
              <c:numCache>
                <c:formatCode>0.00</c:formatCode>
                <c:ptCount val="1"/>
                <c:pt idx="0">
                  <c:v>1192.8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DC-4537-A200-05ACCA8E0018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Areas!$G$6:$O$6</c:f>
              <c:numCache>
                <c:formatCode>0.00</c:formatCode>
                <c:ptCount val="9"/>
                <c:pt idx="0">
                  <c:v>1.3054371519474453</c:v>
                </c:pt>
                <c:pt idx="1">
                  <c:v>4.9565351048928754</c:v>
                </c:pt>
                <c:pt idx="2">
                  <c:v>6.7943670233818718</c:v>
                </c:pt>
                <c:pt idx="3">
                  <c:v>8.4477898469516592</c:v>
                </c:pt>
                <c:pt idx="4">
                  <c:v>25.622583833865651</c:v>
                </c:pt>
                <c:pt idx="5">
                  <c:v>36.495471582497331</c:v>
                </c:pt>
                <c:pt idx="6">
                  <c:v>37.549508370400574</c:v>
                </c:pt>
                <c:pt idx="7">
                  <c:v>65.856060834241006</c:v>
                </c:pt>
                <c:pt idx="8">
                  <c:v>114.47502834641351</c:v>
                </c:pt>
              </c:numCache>
            </c:numRef>
          </c:xVal>
          <c:yVal>
            <c:numRef>
              <c:f>Areas!$G$158:$O$158</c:f>
              <c:numCache>
                <c:formatCode>0.00</c:formatCode>
                <c:ptCount val="9"/>
                <c:pt idx="0">
                  <c:v>0</c:v>
                </c:pt>
                <c:pt idx="1">
                  <c:v>37.208572426979551</c:v>
                </c:pt>
                <c:pt idx="2">
                  <c:v>64.011751316326865</c:v>
                </c:pt>
                <c:pt idx="3">
                  <c:v>66.38083645212707</c:v>
                </c:pt>
                <c:pt idx="4">
                  <c:v>88.817466267646566</c:v>
                </c:pt>
                <c:pt idx="5">
                  <c:v>119.38330978444125</c:v>
                </c:pt>
                <c:pt idx="6">
                  <c:v>415.89057295723836</c:v>
                </c:pt>
                <c:pt idx="7">
                  <c:v>528.74728545579865</c:v>
                </c:pt>
                <c:pt idx="8">
                  <c:v>865.87739081011091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DC-4537-A200-05ACCA8E0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Cubic Number (LBD/100)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SSCS 2.1 - Living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Surf Cbts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Areas!$C$9:$F$9</c:f>
              <c:numCache>
                <c:formatCode>0</c:formatCode>
                <c:ptCount val="4"/>
                <c:pt idx="0">
                  <c:v>329</c:v>
                </c:pt>
                <c:pt idx="1">
                  <c:v>359</c:v>
                </c:pt>
                <c:pt idx="2">
                  <c:v>120</c:v>
                </c:pt>
                <c:pt idx="3">
                  <c:v>76</c:v>
                </c:pt>
              </c:numCache>
            </c:numRef>
          </c:xVal>
          <c:yVal>
            <c:numRef>
              <c:f>Areas!$C$158:$F$158</c:f>
              <c:numCache>
                <c:formatCode>0.00</c:formatCode>
                <c:ptCount val="4"/>
                <c:pt idx="0">
                  <c:v>819.05311989076597</c:v>
                </c:pt>
                <c:pt idx="1">
                  <c:v>979.7792879274067</c:v>
                </c:pt>
                <c:pt idx="2">
                  <c:v>87.516792075442538</c:v>
                </c:pt>
                <c:pt idx="3">
                  <c:v>5.32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BA-4EE5-969C-84A75E822DBA}"/>
            </c:ext>
          </c:extLst>
        </c:ser>
        <c:ser>
          <c:idx val="1"/>
          <c:order val="1"/>
          <c:tx>
            <c:strRef>
              <c:f>Areas!$P$2</c:f>
              <c:strCache>
                <c:ptCount val="1"/>
                <c:pt idx="0">
                  <c:v>LSC Blk 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plus"/>
            <c:size val="12"/>
            <c:spPr>
              <a:noFill/>
              <a:ln w="25400">
                <a:solidFill>
                  <a:srgbClr val="00B050"/>
                </a:solidFill>
              </a:ln>
              <a:effectLst/>
            </c:spPr>
          </c:marker>
          <c:xVal>
            <c:numRef>
              <c:f>Areas!$P$9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Areas!$P$158</c:f>
              <c:numCache>
                <c:formatCode>0.00</c:formatCode>
                <c:ptCount val="1"/>
                <c:pt idx="0">
                  <c:v>1192.8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BA-4EE5-969C-84A75E822DBA}"/>
            </c:ext>
          </c:extLst>
        </c:ser>
        <c:ser>
          <c:idx val="2"/>
          <c:order val="2"/>
          <c:tx>
            <c:strRef>
              <c:f>Areas!$Q$2</c:f>
              <c:strCache>
                <c:ptCount val="1"/>
                <c:pt idx="0">
                  <c:v>LSC Future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1"/>
            <c:spPr>
              <a:noFill/>
              <a:ln w="22225">
                <a:solidFill>
                  <a:srgbClr val="FF0000"/>
                </a:solidFill>
              </a:ln>
              <a:effectLst/>
            </c:spPr>
          </c:marker>
          <c:xVal>
            <c:numRef>
              <c:f>Areas!$Q$9</c:f>
              <c:numCache>
                <c:formatCode>0</c:formatCode>
                <c:ptCount val="1"/>
                <c:pt idx="0">
                  <c:v>390</c:v>
                </c:pt>
              </c:numCache>
            </c:numRef>
          </c:xVal>
          <c:yVal>
            <c:numRef>
              <c:f>Areas!$Q$158</c:f>
              <c:numCache>
                <c:formatCode>0.00</c:formatCode>
                <c:ptCount val="1"/>
                <c:pt idx="0">
                  <c:v>1192.8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1BA-4EE5-969C-84A75E822DBA}"/>
            </c:ext>
          </c:extLst>
        </c:ser>
        <c:ser>
          <c:idx val="3"/>
          <c:order val="3"/>
          <c:tx>
            <c:v>USCG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Areas!$G$9:$O$9</c:f>
              <c:numCache>
                <c:formatCode>0</c:formatCode>
                <c:ptCount val="9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3">
                  <c:v>18</c:v>
                </c:pt>
                <c:pt idx="6">
                  <c:v>86</c:v>
                </c:pt>
                <c:pt idx="7">
                  <c:v>109</c:v>
                </c:pt>
                <c:pt idx="8">
                  <c:v>186</c:v>
                </c:pt>
              </c:numCache>
            </c:numRef>
          </c:xVal>
          <c:yVal>
            <c:numRef>
              <c:f>Areas!$G$158:$O$158</c:f>
              <c:numCache>
                <c:formatCode>0.00</c:formatCode>
                <c:ptCount val="9"/>
                <c:pt idx="0">
                  <c:v>0</c:v>
                </c:pt>
                <c:pt idx="1">
                  <c:v>37.208572426979551</c:v>
                </c:pt>
                <c:pt idx="2">
                  <c:v>64.011751316326865</c:v>
                </c:pt>
                <c:pt idx="3">
                  <c:v>66.38083645212707</c:v>
                </c:pt>
                <c:pt idx="4">
                  <c:v>88.817466267646566</c:v>
                </c:pt>
                <c:pt idx="5">
                  <c:v>119.38330978444125</c:v>
                </c:pt>
                <c:pt idx="6">
                  <c:v>415.89057295723836</c:v>
                </c:pt>
                <c:pt idx="7">
                  <c:v>528.74728545579865</c:v>
                </c:pt>
                <c:pt idx="8">
                  <c:v>865.87739081011091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1BA-4EE5-969C-84A75E82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480408"/>
        <c:axId val="418479752"/>
      </c:scatterChart>
      <c:valAx>
        <c:axId val="418480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Accommodations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79752"/>
        <c:crosses val="autoZero"/>
        <c:crossBetween val="midCat"/>
      </c:valAx>
      <c:valAx>
        <c:axId val="418479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Area (sq 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4804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>
    <tabColor theme="9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8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28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9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9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0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30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13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1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14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2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theme="9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11">
    <tabColor theme="7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15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16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17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18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19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20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 codeName="Chart21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 codeName="Chart22">
    <tabColor theme="7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 codeName="Chart12">
    <tabColor theme="6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3">
    <tabColor theme="9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 codeName="Chart23">
    <tabColor theme="6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 codeName="Chart24">
    <tabColor theme="6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 codeName="Chart25">
    <tabColor theme="6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4">
    <tabColor theme="9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5">
    <tabColor theme="9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6">
    <tabColor theme="8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26">
    <tabColor theme="8"/>
  </sheetPr>
  <sheetViews>
    <sheetView zoomScale="136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7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27">
    <tabColor theme="8" tint="0.79998168889431442"/>
  </sheetPr>
  <sheetViews>
    <sheetView zoomScale="6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25400</xdr:rowOff>
    </xdr:from>
    <xdr:to>
      <xdr:col>1</xdr:col>
      <xdr:colOff>469900</xdr:colOff>
      <xdr:row>4</xdr:row>
      <xdr:rowOff>95250</xdr:rowOff>
    </xdr:to>
    <xdr:pic>
      <xdr:nvPicPr>
        <xdr:cNvPr id="2" name="Picture 1" descr="OPC_logoColorRGB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25400"/>
          <a:ext cx="1079500" cy="603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213" cy="62846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72015" cy="629313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T14\6%20Projects%20Working%20Folder\DDG%2051%20Class\DDG%20Flight%20III\Detail%20Design\Area%20Volume\2016-11-01_Areas%20and%20Volume-%20DDG%2051%20Class%20-%20FY16%20Hu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gcarl-sp01/Littoral%20Combat%20Ship%20(LCS)/18450%20-%20Pre-Award%20Efforts/Working%20Area/300-02%20Electrical%20System%20Trade-Off%20Analysis/draft%20deliverables/USERS/TSCHUBER/temp/USCG%20Load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eights\Hellenic\Hellenic_MODIFI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EPT14\6%20Projects%20Working%20Folder\LCS\835-001%20Area%20Volume%20Report\LCS%205\Deliverables\Rev%20D\Native%20Format\0403-3-835-00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&amp; Changes to Spreadsheet"/>
      <sheetName val="Comp't Name Sort"/>
      <sheetName val="Deck Level Sort"/>
      <sheetName val="SSCS Sort"/>
      <sheetName val="Construction Zone Sor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 Summary"/>
      <sheetName val="LC Details"/>
      <sheetName val="MCC Summary"/>
      <sheetName val="MCC Details"/>
      <sheetName val="NSC Summary"/>
      <sheetName val="NSC Details"/>
      <sheetName val="Corvette Summary"/>
      <sheetName val="Corvette Details"/>
      <sheetName val="FFG 7"/>
      <sheetName val="DDG 79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0">
          <cell r="B30">
            <v>535900</v>
          </cell>
        </row>
        <row r="32">
          <cell r="B32">
            <v>268196</v>
          </cell>
        </row>
        <row r="35">
          <cell r="B35">
            <v>468211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-Full Load"/>
      <sheetName val="Group 1"/>
      <sheetName val="Group 2"/>
      <sheetName val="Group 3"/>
      <sheetName val="Group 4"/>
      <sheetName val="Group 5"/>
      <sheetName val="Group 6"/>
      <sheetName val="Group7"/>
      <sheetName val="FULL LOAD"/>
    </sheetNames>
    <sheetDataSet>
      <sheetData sheetId="0"/>
      <sheetData sheetId="1">
        <row r="3">
          <cell r="P3">
            <v>3.2808299999999999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Hull Applicability"/>
      <sheetName val="Index"/>
      <sheetName val="Revisions"/>
      <sheetName val="Revisions (Cont'd)"/>
      <sheetName val="References"/>
      <sheetName val="General Notes"/>
      <sheetName val="Alphabetical Sort"/>
      <sheetName val="By Alphabetical"/>
      <sheetName val="Space Class Sort"/>
      <sheetName val="By Space Class"/>
      <sheetName val="Deck Sort"/>
      <sheetName val="By Deck"/>
      <sheetName val="Data - DO NOT PRINT"/>
      <sheetName val="Hist Track - DO NOT 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3">
          <cell r="E303">
            <v>4221.6024731406997</v>
          </cell>
          <cell r="F303">
            <v>17929.393433794306</v>
          </cell>
        </row>
      </sheetData>
      <sheetData sheetId="9"/>
      <sheetData sheetId="10"/>
      <sheetData sheetId="11"/>
      <sheetData sheetId="12"/>
      <sheetData sheetId="13">
        <row r="3">
          <cell r="B3" t="str">
            <v>04-31-0-L</v>
          </cell>
          <cell r="C3" t="str">
            <v>Mast Enclosure</v>
          </cell>
          <cell r="D3" t="str">
            <v>04 Level</v>
          </cell>
          <cell r="E3">
            <v>9.1</v>
          </cell>
          <cell r="F3">
            <v>19.41</v>
          </cell>
        </row>
        <row r="4">
          <cell r="B4" t="str">
            <v>03-30-0-C</v>
          </cell>
          <cell r="C4" t="str">
            <v>Radar Room</v>
          </cell>
          <cell r="D4" t="str">
            <v>03 Level</v>
          </cell>
          <cell r="E4">
            <v>35.9</v>
          </cell>
          <cell r="F4">
            <v>76.39</v>
          </cell>
        </row>
        <row r="5">
          <cell r="B5" t="str">
            <v>03-34-0-T</v>
          </cell>
          <cell r="C5" t="str">
            <v>Uptake Space</v>
          </cell>
          <cell r="D5" t="str">
            <v>03 Level</v>
          </cell>
          <cell r="E5">
            <v>31.4</v>
          </cell>
          <cell r="F5">
            <v>67.28</v>
          </cell>
        </row>
        <row r="6">
          <cell r="B6" t="str">
            <v>03-36-0-T</v>
          </cell>
          <cell r="C6" t="str">
            <v>Uptake Space</v>
          </cell>
          <cell r="D6" t="str">
            <v>03 Level</v>
          </cell>
          <cell r="E6">
            <v>33.44</v>
          </cell>
          <cell r="F6">
            <v>66.5</v>
          </cell>
        </row>
        <row r="7">
          <cell r="B7" t="str">
            <v>02-23-1-T</v>
          </cell>
          <cell r="C7" t="str">
            <v>Intake Plenum</v>
          </cell>
          <cell r="D7" t="str">
            <v>02 Level</v>
          </cell>
          <cell r="E7">
            <v>39.549999999999997</v>
          </cell>
          <cell r="F7">
            <v>76.959999999999994</v>
          </cell>
        </row>
        <row r="8">
          <cell r="B8" t="str">
            <v>02-23-2-T</v>
          </cell>
          <cell r="C8" t="str">
            <v>Intake Plenum</v>
          </cell>
          <cell r="D8" t="str">
            <v>02 Level</v>
          </cell>
          <cell r="E8">
            <v>39.549999999999997</v>
          </cell>
          <cell r="F8">
            <v>76.959999999999994</v>
          </cell>
        </row>
        <row r="9">
          <cell r="B9" t="str">
            <v>02-30-0-L</v>
          </cell>
          <cell r="C9" t="str">
            <v>Passage</v>
          </cell>
          <cell r="D9" t="str">
            <v>02 Level</v>
          </cell>
          <cell r="E9">
            <v>20.72</v>
          </cell>
          <cell r="F9">
            <v>53.75</v>
          </cell>
        </row>
        <row r="10">
          <cell r="B10" t="str">
            <v>02-30-1-A</v>
          </cell>
          <cell r="C10" t="str">
            <v>Cleaning Gear Locker</v>
          </cell>
          <cell r="D10" t="str">
            <v>02 Level</v>
          </cell>
          <cell r="E10">
            <v>1.78</v>
          </cell>
          <cell r="F10">
            <v>4.62</v>
          </cell>
        </row>
        <row r="11">
          <cell r="B11" t="str">
            <v>02-31-1-C</v>
          </cell>
          <cell r="C11" t="str">
            <v>Combat/Excomm Equipment Room</v>
          </cell>
          <cell r="D11" t="str">
            <v>02 Level</v>
          </cell>
          <cell r="E11">
            <v>30.44</v>
          </cell>
          <cell r="F11">
            <v>72.650000000000006</v>
          </cell>
        </row>
        <row r="12">
          <cell r="B12" t="str">
            <v>02-31-2-C</v>
          </cell>
          <cell r="C12" t="str">
            <v>Radio Equipment Room</v>
          </cell>
          <cell r="D12" t="str">
            <v>02 Level</v>
          </cell>
          <cell r="E12">
            <v>27.85</v>
          </cell>
          <cell r="F12">
            <v>66.510000000000005</v>
          </cell>
        </row>
        <row r="13">
          <cell r="B13" t="str">
            <v>02-37-1-Q</v>
          </cell>
          <cell r="C13" t="str">
            <v>Fan Room</v>
          </cell>
          <cell r="D13" t="str">
            <v>02 Level</v>
          </cell>
          <cell r="E13">
            <v>14.6</v>
          </cell>
          <cell r="F13">
            <v>33.42</v>
          </cell>
        </row>
        <row r="14">
          <cell r="B14" t="str">
            <v>02-37-2-Q</v>
          </cell>
          <cell r="C14" t="str">
            <v>TSCIF</v>
          </cell>
          <cell r="D14" t="str">
            <v>02 Level</v>
          </cell>
          <cell r="E14">
            <v>6.34</v>
          </cell>
          <cell r="F14">
            <v>15.79</v>
          </cell>
        </row>
        <row r="15">
          <cell r="B15" t="str">
            <v>02-37-4-C</v>
          </cell>
          <cell r="C15" t="str">
            <v>Combat Systems Equipment Room No. 2</v>
          </cell>
          <cell r="D15" t="str">
            <v>02 Level</v>
          </cell>
          <cell r="E15">
            <v>31.44</v>
          </cell>
          <cell r="F15">
            <v>72.569999999999993</v>
          </cell>
        </row>
        <row r="16">
          <cell r="B16" t="str">
            <v>02-39-1-C</v>
          </cell>
          <cell r="C16" t="str">
            <v>Combat Systems Equipment Room No. 1</v>
          </cell>
          <cell r="D16" t="str">
            <v>02 Level</v>
          </cell>
          <cell r="E16">
            <v>26.09</v>
          </cell>
          <cell r="F16">
            <v>58.79</v>
          </cell>
        </row>
        <row r="17">
          <cell r="B17" t="str">
            <v>02-40-0-L</v>
          </cell>
          <cell r="C17" t="str">
            <v>Passage</v>
          </cell>
          <cell r="D17" t="str">
            <v>02 Level</v>
          </cell>
          <cell r="E17">
            <v>1.83</v>
          </cell>
          <cell r="F17">
            <v>3.74</v>
          </cell>
        </row>
        <row r="18">
          <cell r="B18" t="str">
            <v>02-40-2-Q</v>
          </cell>
          <cell r="C18" t="str">
            <v>Shore Connection Station</v>
          </cell>
          <cell r="D18" t="str">
            <v>02 Level</v>
          </cell>
          <cell r="E18">
            <v>2.86</v>
          </cell>
          <cell r="F18">
            <v>6.09</v>
          </cell>
        </row>
        <row r="19">
          <cell r="B19" t="str">
            <v>-</v>
          </cell>
          <cell r="C19" t="str">
            <v>ALEX Launcher Space</v>
          </cell>
          <cell r="D19" t="str">
            <v>02 Level</v>
          </cell>
          <cell r="E19">
            <v>63.67</v>
          </cell>
          <cell r="F19" t="str">
            <v>-</v>
          </cell>
          <cell r="G19" t="str">
            <v>Open to Weather</v>
          </cell>
        </row>
        <row r="20">
          <cell r="B20" t="str">
            <v>02-44-0-C</v>
          </cell>
          <cell r="C20" t="str">
            <v>Interface Control Room (Modules 1 &amp; 2)</v>
          </cell>
          <cell r="D20" t="str">
            <v>02 Level</v>
          </cell>
          <cell r="E20">
            <v>4.7300000000000004</v>
          </cell>
          <cell r="F20">
            <v>11.44</v>
          </cell>
        </row>
        <row r="21">
          <cell r="B21" t="str">
            <v>02-44-1-M</v>
          </cell>
          <cell r="C21" t="str">
            <v>Weapons Module No. 1</v>
          </cell>
          <cell r="D21" t="str">
            <v>02 Level</v>
          </cell>
          <cell r="E21">
            <v>24.34</v>
          </cell>
          <cell r="F21" t="str">
            <v>-</v>
          </cell>
          <cell r="G21" t="str">
            <v>Open to Weather</v>
          </cell>
        </row>
        <row r="22">
          <cell r="B22" t="str">
            <v>02-44-2-M</v>
          </cell>
          <cell r="C22" t="str">
            <v>Weapons Module No. 2</v>
          </cell>
          <cell r="D22" t="str">
            <v>02 Level</v>
          </cell>
          <cell r="E22">
            <v>24.47</v>
          </cell>
          <cell r="F22" t="str">
            <v>-</v>
          </cell>
          <cell r="G22" t="str">
            <v>Open to Weather</v>
          </cell>
        </row>
        <row r="23">
          <cell r="B23" t="str">
            <v>02-44-3-T</v>
          </cell>
          <cell r="C23" t="str">
            <v>Vent Plenum</v>
          </cell>
          <cell r="D23" t="str">
            <v>02 Level</v>
          </cell>
          <cell r="E23">
            <v>7.43</v>
          </cell>
          <cell r="F23">
            <v>14.49</v>
          </cell>
        </row>
        <row r="24">
          <cell r="B24" t="str">
            <v>-</v>
          </cell>
          <cell r="C24" t="str">
            <v>Weather Passage</v>
          </cell>
          <cell r="D24" t="str">
            <v>02 Level</v>
          </cell>
          <cell r="E24">
            <v>7.89</v>
          </cell>
          <cell r="F24" t="str">
            <v>-</v>
          </cell>
          <cell r="G24" t="str">
            <v>Open to Weather</v>
          </cell>
        </row>
        <row r="25">
          <cell r="B25" t="str">
            <v>02-48-0-M</v>
          </cell>
          <cell r="C25" t="str">
            <v>Weapons Module No. 3</v>
          </cell>
          <cell r="D25" t="str">
            <v>02 Level</v>
          </cell>
          <cell r="E25">
            <v>23.29</v>
          </cell>
          <cell r="F25" t="str">
            <v>-</v>
          </cell>
          <cell r="G25" t="str">
            <v>Open to Weather</v>
          </cell>
        </row>
        <row r="26">
          <cell r="B26" t="str">
            <v>02-48-1-C</v>
          </cell>
          <cell r="C26" t="str">
            <v>Misc Stowage &amp; Interface Control Room (Module 3)</v>
          </cell>
          <cell r="D26" t="str">
            <v>02 Level</v>
          </cell>
          <cell r="E26">
            <v>11.65</v>
          </cell>
          <cell r="F26">
            <v>26.77</v>
          </cell>
        </row>
        <row r="27">
          <cell r="B27" t="str">
            <v>02-48-2-A</v>
          </cell>
          <cell r="C27" t="str">
            <v>Fueling At Sea Storeroom</v>
          </cell>
          <cell r="D27" t="str">
            <v>02 Level</v>
          </cell>
          <cell r="E27">
            <v>11.65</v>
          </cell>
          <cell r="F27">
            <v>26.77</v>
          </cell>
        </row>
        <row r="28">
          <cell r="B28" t="str">
            <v>01-19-0-C</v>
          </cell>
          <cell r="C28" t="str">
            <v>Pilot House</v>
          </cell>
          <cell r="D28" t="str">
            <v>01 Level</v>
          </cell>
          <cell r="E28">
            <v>78.337999999999994</v>
          </cell>
          <cell r="F28">
            <v>167.762</v>
          </cell>
        </row>
        <row r="29">
          <cell r="B29" t="str">
            <v>01-25-1-C</v>
          </cell>
          <cell r="C29" t="str">
            <v>Chart Room</v>
          </cell>
          <cell r="D29" t="str">
            <v>01 Level</v>
          </cell>
          <cell r="E29">
            <v>8.17</v>
          </cell>
          <cell r="F29">
            <v>22.88</v>
          </cell>
        </row>
        <row r="30">
          <cell r="B30" t="str">
            <v>01-25-0-L</v>
          </cell>
          <cell r="C30" t="str">
            <v>Passage</v>
          </cell>
          <cell r="D30" t="str">
            <v>01 Level</v>
          </cell>
          <cell r="E30">
            <v>1.19</v>
          </cell>
          <cell r="F30">
            <v>3.33</v>
          </cell>
        </row>
        <row r="31">
          <cell r="B31" t="str">
            <v>01-25-1-L</v>
          </cell>
          <cell r="C31" t="str">
            <v>Officer (2) Stateroom</v>
          </cell>
          <cell r="D31" t="str">
            <v>01 Level</v>
          </cell>
          <cell r="E31">
            <v>15.66</v>
          </cell>
          <cell r="F31">
            <v>39.17</v>
          </cell>
        </row>
        <row r="32">
          <cell r="B32" t="str">
            <v>01-25-01-L</v>
          </cell>
          <cell r="C32" t="str">
            <v>Passage</v>
          </cell>
          <cell r="D32" t="str">
            <v>01 Level</v>
          </cell>
          <cell r="E32">
            <v>45.55</v>
          </cell>
          <cell r="F32">
            <v>130.77000000000001</v>
          </cell>
        </row>
        <row r="33">
          <cell r="B33" t="str">
            <v>01-25-2-L</v>
          </cell>
          <cell r="C33" t="str">
            <v>Bridge Water Closet</v>
          </cell>
          <cell r="D33" t="str">
            <v>01 Level</v>
          </cell>
          <cell r="E33">
            <v>2.0299999999999998</v>
          </cell>
          <cell r="F33">
            <v>5.68</v>
          </cell>
        </row>
        <row r="34">
          <cell r="B34" t="str">
            <v>01-25-3-L</v>
          </cell>
          <cell r="C34" t="str">
            <v>Officer Toilet/Shower</v>
          </cell>
          <cell r="D34" t="str">
            <v>01 Level</v>
          </cell>
          <cell r="E34">
            <v>2.66</v>
          </cell>
          <cell r="F34">
            <v>5.83</v>
          </cell>
        </row>
        <row r="35">
          <cell r="B35" t="str">
            <v>01-25-4-L</v>
          </cell>
          <cell r="C35" t="str">
            <v>Commanding Officer Office</v>
          </cell>
          <cell r="D35" t="str">
            <v>01 Level</v>
          </cell>
          <cell r="E35">
            <v>9.69</v>
          </cell>
          <cell r="F35">
            <v>27.13</v>
          </cell>
        </row>
        <row r="36">
          <cell r="B36" t="str">
            <v>01-25-6-L</v>
          </cell>
          <cell r="C36" t="str">
            <v>Commanding Officer Stateroom</v>
          </cell>
          <cell r="D36" t="str">
            <v>01 Level</v>
          </cell>
          <cell r="E36">
            <v>17.190000000000001</v>
          </cell>
          <cell r="F36">
            <v>43</v>
          </cell>
        </row>
        <row r="37">
          <cell r="B37" t="str">
            <v>01-25-8-L</v>
          </cell>
          <cell r="C37" t="str">
            <v>Commanding Officer Toilet/Shower</v>
          </cell>
          <cell r="D37" t="str">
            <v>01 Level</v>
          </cell>
          <cell r="E37">
            <v>2.66</v>
          </cell>
          <cell r="F37">
            <v>5.83</v>
          </cell>
        </row>
        <row r="38">
          <cell r="B38" t="str">
            <v>01-28-1-L</v>
          </cell>
          <cell r="C38" t="str">
            <v>Officer (2) Stateroom</v>
          </cell>
          <cell r="D38" t="str">
            <v>01 Level</v>
          </cell>
          <cell r="E38">
            <v>13.93</v>
          </cell>
          <cell r="F38">
            <v>36.01</v>
          </cell>
        </row>
        <row r="39">
          <cell r="B39" t="str">
            <v>01-28-3-L</v>
          </cell>
          <cell r="C39" t="str">
            <v>Officer Toilet/Shower</v>
          </cell>
          <cell r="D39" t="str">
            <v>01 Level</v>
          </cell>
          <cell r="E39">
            <v>2.66</v>
          </cell>
          <cell r="F39">
            <v>5.83</v>
          </cell>
        </row>
        <row r="40">
          <cell r="B40" t="str">
            <v>01-29-2-L</v>
          </cell>
          <cell r="C40" t="str">
            <v>Officer (2) Stateroom</v>
          </cell>
          <cell r="D40" t="str">
            <v>01 Level</v>
          </cell>
          <cell r="E40">
            <v>14.32</v>
          </cell>
          <cell r="F40">
            <v>36.090000000000003</v>
          </cell>
        </row>
        <row r="41">
          <cell r="B41" t="str">
            <v>01-30-4-L</v>
          </cell>
          <cell r="C41" t="str">
            <v>Officer Toilet/Shower</v>
          </cell>
          <cell r="D41" t="str">
            <v>01 Level</v>
          </cell>
          <cell r="E41">
            <v>2.66</v>
          </cell>
          <cell r="F41">
            <v>5.83</v>
          </cell>
        </row>
        <row r="42">
          <cell r="B42" t="str">
            <v>01-32-1-L</v>
          </cell>
          <cell r="C42" t="str">
            <v>Officer (2) Stateroom</v>
          </cell>
          <cell r="D42" t="str">
            <v>01 Level</v>
          </cell>
          <cell r="E42">
            <v>13.94</v>
          </cell>
          <cell r="F42">
            <v>38.4</v>
          </cell>
        </row>
        <row r="43">
          <cell r="B43" t="str">
            <v>01-32-2-L</v>
          </cell>
          <cell r="C43" t="str">
            <v>Officer (2) Stateroom</v>
          </cell>
          <cell r="D43" t="str">
            <v>01 Level</v>
          </cell>
          <cell r="E43">
            <v>16.670000000000002</v>
          </cell>
          <cell r="F43">
            <v>40.909999999999997</v>
          </cell>
        </row>
        <row r="44">
          <cell r="B44" t="str">
            <v>01-34-1-L</v>
          </cell>
          <cell r="C44" t="str">
            <v>Officer Toilet/Shower</v>
          </cell>
          <cell r="D44" t="str">
            <v>01 Level</v>
          </cell>
          <cell r="E44">
            <v>2.66</v>
          </cell>
          <cell r="F44">
            <v>5.83</v>
          </cell>
        </row>
        <row r="45">
          <cell r="B45" t="str">
            <v>01-36-1-Q</v>
          </cell>
          <cell r="C45" t="str">
            <v>Fan Room</v>
          </cell>
          <cell r="D45" t="str">
            <v>01 Level</v>
          </cell>
          <cell r="E45">
            <v>16.649999999999999</v>
          </cell>
          <cell r="F45">
            <v>54.33</v>
          </cell>
        </row>
        <row r="46">
          <cell r="B46" t="str">
            <v>01-36-2-Q</v>
          </cell>
          <cell r="C46" t="str">
            <v>Fan Room</v>
          </cell>
          <cell r="D46" t="str">
            <v>01 Level</v>
          </cell>
          <cell r="E46">
            <v>13.61</v>
          </cell>
          <cell r="F46">
            <v>43.7</v>
          </cell>
        </row>
        <row r="47">
          <cell r="B47" t="str">
            <v>01-36-4-L</v>
          </cell>
          <cell r="C47" t="str">
            <v>Officer Toilet/Shower</v>
          </cell>
          <cell r="D47" t="str">
            <v>01 Level</v>
          </cell>
          <cell r="E47">
            <v>2.66</v>
          </cell>
          <cell r="F47">
            <v>5.83</v>
          </cell>
        </row>
        <row r="48">
          <cell r="B48" t="str">
            <v>01-37-2-T</v>
          </cell>
          <cell r="C48" t="str">
            <v>Plenum</v>
          </cell>
          <cell r="D48" t="str">
            <v>01 Level</v>
          </cell>
          <cell r="E48">
            <v>1.1539999999999999</v>
          </cell>
          <cell r="F48">
            <v>3.92</v>
          </cell>
        </row>
        <row r="49">
          <cell r="B49" t="str">
            <v>01-37-2-Q</v>
          </cell>
          <cell r="C49" t="str">
            <v>Helicopter/UAV Office</v>
          </cell>
          <cell r="D49" t="str">
            <v>01 Level</v>
          </cell>
          <cell r="E49">
            <v>21.27</v>
          </cell>
          <cell r="F49">
            <v>63.2</v>
          </cell>
        </row>
        <row r="50">
          <cell r="B50" t="str">
            <v>01-37-4-T</v>
          </cell>
          <cell r="C50" t="str">
            <v>Plenum</v>
          </cell>
          <cell r="D50" t="str">
            <v>01 Level</v>
          </cell>
          <cell r="E50">
            <v>0.89900000000000002</v>
          </cell>
          <cell r="F50">
            <v>3.06</v>
          </cell>
        </row>
        <row r="51">
          <cell r="B51" t="str">
            <v>01-38-2-T</v>
          </cell>
          <cell r="C51" t="str">
            <v>Plenum</v>
          </cell>
          <cell r="D51" t="str">
            <v>01 Level</v>
          </cell>
          <cell r="E51">
            <v>1.849</v>
          </cell>
          <cell r="F51">
            <v>6.29</v>
          </cell>
        </row>
        <row r="52">
          <cell r="B52" t="str">
            <v>01-39-2-T</v>
          </cell>
          <cell r="C52" t="str">
            <v>Plenum</v>
          </cell>
          <cell r="D52" t="str">
            <v>01 Level</v>
          </cell>
          <cell r="E52">
            <v>1.643</v>
          </cell>
          <cell r="F52">
            <v>5.59</v>
          </cell>
        </row>
        <row r="53">
          <cell r="B53" t="str">
            <v>01-40-1-U</v>
          </cell>
          <cell r="C53" t="str">
            <v>Unassigned</v>
          </cell>
          <cell r="D53" t="str">
            <v>01 Level</v>
          </cell>
          <cell r="E53">
            <v>3.64</v>
          </cell>
          <cell r="F53">
            <v>12.56</v>
          </cell>
        </row>
        <row r="54">
          <cell r="B54" t="str">
            <v>01-40-2-T</v>
          </cell>
          <cell r="C54" t="str">
            <v>Vent Plenum</v>
          </cell>
          <cell r="D54" t="str">
            <v>01 Level</v>
          </cell>
          <cell r="E54">
            <v>1.7</v>
          </cell>
          <cell r="F54">
            <v>3.01</v>
          </cell>
        </row>
        <row r="55">
          <cell r="B55" t="str">
            <v>01-41-2-T</v>
          </cell>
          <cell r="C55" t="str">
            <v>Vent Plenum</v>
          </cell>
          <cell r="D55" t="str">
            <v>01 Level</v>
          </cell>
          <cell r="E55">
            <v>1</v>
          </cell>
          <cell r="F55">
            <v>1.1599999999999999</v>
          </cell>
        </row>
        <row r="56">
          <cell r="B56" t="str">
            <v>01-42-2-T</v>
          </cell>
          <cell r="C56" t="str">
            <v>Vent Plenum</v>
          </cell>
          <cell r="D56" t="str">
            <v>01 Level</v>
          </cell>
          <cell r="E56">
            <v>2.15</v>
          </cell>
          <cell r="F56">
            <v>3.08</v>
          </cell>
        </row>
        <row r="57">
          <cell r="B57" t="str">
            <v>01-54-2-Q</v>
          </cell>
          <cell r="C57" t="str">
            <v>Helicopter Control Station</v>
          </cell>
          <cell r="D57" t="str">
            <v>01 Level</v>
          </cell>
          <cell r="E57">
            <v>18.739999999999998</v>
          </cell>
          <cell r="F57">
            <v>48.78</v>
          </cell>
        </row>
        <row r="58">
          <cell r="B58" t="str">
            <v>1-17-0-L</v>
          </cell>
          <cell r="C58" t="str">
            <v>Passage</v>
          </cell>
          <cell r="D58" t="str">
            <v>Main Deck</v>
          </cell>
          <cell r="E58">
            <v>14.84</v>
          </cell>
          <cell r="F58">
            <v>21.32</v>
          </cell>
        </row>
        <row r="59">
          <cell r="B59" t="str">
            <v>1-18-2-Q</v>
          </cell>
          <cell r="C59" t="str">
            <v>Fan Room</v>
          </cell>
          <cell r="D59" t="str">
            <v>Main Deck</v>
          </cell>
          <cell r="E59">
            <v>29.32</v>
          </cell>
          <cell r="F59">
            <v>57.46</v>
          </cell>
        </row>
        <row r="60">
          <cell r="B60" t="str">
            <v>1-19-0-L</v>
          </cell>
          <cell r="C60" t="str">
            <v>Passage</v>
          </cell>
          <cell r="D60" t="str">
            <v>Main Deck</v>
          </cell>
          <cell r="E60">
            <v>28.630000000000006</v>
          </cell>
          <cell r="F60">
            <v>80.180000000000007</v>
          </cell>
        </row>
        <row r="61">
          <cell r="B61" t="str">
            <v>1-19-1-L</v>
          </cell>
          <cell r="C61" t="str">
            <v>Executive Officer Office</v>
          </cell>
          <cell r="D61" t="str">
            <v>Main Deck</v>
          </cell>
          <cell r="E61">
            <v>20.12</v>
          </cell>
          <cell r="F61">
            <v>38.93</v>
          </cell>
        </row>
        <row r="62">
          <cell r="B62" t="str">
            <v>1-22-1-L</v>
          </cell>
          <cell r="C62" t="str">
            <v>Exec Officer Toilet/Shower</v>
          </cell>
          <cell r="D62" t="str">
            <v>Main Deck</v>
          </cell>
          <cell r="E62">
            <v>2.66</v>
          </cell>
          <cell r="F62">
            <v>5.83</v>
          </cell>
        </row>
        <row r="63">
          <cell r="B63" t="str">
            <v>1-22-2-C</v>
          </cell>
          <cell r="C63" t="str">
            <v>Integrated Radio Room</v>
          </cell>
          <cell r="D63" t="str">
            <v>Main Deck</v>
          </cell>
          <cell r="E63">
            <v>38.11</v>
          </cell>
          <cell r="F63">
            <v>101.02</v>
          </cell>
        </row>
        <row r="64">
          <cell r="B64" t="str">
            <v>1-22-3-L</v>
          </cell>
          <cell r="C64" t="str">
            <v>Executive Officer Stateroom</v>
          </cell>
          <cell r="D64" t="str">
            <v>Main Deck</v>
          </cell>
          <cell r="E64">
            <v>13.16</v>
          </cell>
          <cell r="F64">
            <v>36.159999999999997</v>
          </cell>
        </row>
        <row r="65">
          <cell r="B65" t="str">
            <v>1-24-1-L</v>
          </cell>
          <cell r="C65" t="str">
            <v>Officer (2) Stateroom</v>
          </cell>
          <cell r="D65" t="str">
            <v>Main Deck</v>
          </cell>
          <cell r="E65">
            <v>14</v>
          </cell>
          <cell r="F65">
            <v>30.585999999999999</v>
          </cell>
        </row>
        <row r="66">
          <cell r="B66" t="str">
            <v>1-24-3-L</v>
          </cell>
          <cell r="C66" t="str">
            <v>Officer Toilet/Shower</v>
          </cell>
          <cell r="D66" t="str">
            <v>Main Deck</v>
          </cell>
          <cell r="E66">
            <v>2.66</v>
          </cell>
          <cell r="F66">
            <v>5.83</v>
          </cell>
        </row>
        <row r="67">
          <cell r="B67" t="str">
            <v>1-24-5-T</v>
          </cell>
          <cell r="C67" t="str">
            <v>Plenum</v>
          </cell>
          <cell r="D67" t="str">
            <v>Main Deck</v>
          </cell>
          <cell r="E67">
            <v>2.1800000000000002</v>
          </cell>
          <cell r="F67">
            <v>6.1040000000000001</v>
          </cell>
        </row>
        <row r="68">
          <cell r="B68" t="str">
            <v>1-25-1-T</v>
          </cell>
          <cell r="C68" t="str">
            <v>Access Trunk</v>
          </cell>
          <cell r="D68" t="str">
            <v>Main Deck</v>
          </cell>
          <cell r="E68">
            <v>3.11</v>
          </cell>
          <cell r="F68">
            <v>8.67</v>
          </cell>
        </row>
        <row r="69">
          <cell r="B69" t="str">
            <v>1-26-0-L</v>
          </cell>
          <cell r="C69" t="str">
            <v>Passage</v>
          </cell>
          <cell r="D69" t="str">
            <v>Main Deck</v>
          </cell>
          <cell r="E69">
            <v>33.130000000000003</v>
          </cell>
          <cell r="F69">
            <v>92.75</v>
          </cell>
        </row>
        <row r="70">
          <cell r="B70" t="str">
            <v>1-26-1-C</v>
          </cell>
          <cell r="C70" t="str">
            <v>Electronic Load Center Room</v>
          </cell>
          <cell r="D70" t="str">
            <v>Main Deck</v>
          </cell>
          <cell r="E70">
            <v>12.17</v>
          </cell>
          <cell r="F70">
            <v>31.95</v>
          </cell>
        </row>
        <row r="71">
          <cell r="B71" t="str">
            <v>1-26-2-C</v>
          </cell>
          <cell r="C71" t="str">
            <v>Combat Systems Equipment Room No. 3</v>
          </cell>
          <cell r="D71" t="str">
            <v>Main Deck</v>
          </cell>
          <cell r="E71">
            <v>27.84</v>
          </cell>
          <cell r="F71">
            <v>71.41</v>
          </cell>
        </row>
        <row r="72">
          <cell r="B72" t="str">
            <v>1-27-1-T</v>
          </cell>
          <cell r="C72" t="str">
            <v>Intake Trunk</v>
          </cell>
          <cell r="D72" t="str">
            <v>Main Deck</v>
          </cell>
          <cell r="E72">
            <v>14.33</v>
          </cell>
          <cell r="F72">
            <v>87.39</v>
          </cell>
          <cell r="G72" t="str">
            <v>03 Level</v>
          </cell>
        </row>
        <row r="73">
          <cell r="B73" t="str">
            <v>1-27-2-T</v>
          </cell>
          <cell r="C73" t="str">
            <v>Intake Trunk</v>
          </cell>
          <cell r="D73" t="str">
            <v>Main Deck</v>
          </cell>
          <cell r="E73">
            <v>14.33</v>
          </cell>
          <cell r="F73">
            <v>87.39</v>
          </cell>
          <cell r="G73" t="str">
            <v>03 Level</v>
          </cell>
        </row>
        <row r="74">
          <cell r="B74" t="str">
            <v>1-28-1-Q</v>
          </cell>
          <cell r="C74" t="str">
            <v>Fan Room</v>
          </cell>
          <cell r="D74" t="str">
            <v>Main Deck</v>
          </cell>
          <cell r="E74">
            <v>15.89</v>
          </cell>
          <cell r="F74">
            <v>38.159999999999997</v>
          </cell>
        </row>
        <row r="75">
          <cell r="B75" t="str">
            <v>1-30-1-T</v>
          </cell>
          <cell r="C75" t="str">
            <v>Vent Trunk</v>
          </cell>
          <cell r="D75" t="str">
            <v>Main Deck</v>
          </cell>
          <cell r="E75">
            <v>5.47</v>
          </cell>
          <cell r="F75">
            <v>45.38</v>
          </cell>
          <cell r="G75" t="str">
            <v>03 Level</v>
          </cell>
        </row>
        <row r="76">
          <cell r="B76" t="str">
            <v>1-30-2-T</v>
          </cell>
          <cell r="C76" t="str">
            <v>Vent Trunk</v>
          </cell>
          <cell r="D76" t="str">
            <v>Main Deck</v>
          </cell>
          <cell r="E76">
            <v>5.47</v>
          </cell>
          <cell r="F76">
            <v>45.38</v>
          </cell>
          <cell r="G76" t="str">
            <v>03 Level</v>
          </cell>
        </row>
        <row r="77">
          <cell r="B77" t="str">
            <v>1-31-1-W</v>
          </cell>
          <cell r="C77" t="str">
            <v>Water Mist Tank</v>
          </cell>
          <cell r="D77" t="str">
            <v>Main Deck</v>
          </cell>
          <cell r="E77">
            <v>0</v>
          </cell>
          <cell r="F77">
            <v>3.49</v>
          </cell>
        </row>
        <row r="78">
          <cell r="B78" t="str">
            <v>1-31-2-L</v>
          </cell>
          <cell r="C78" t="str">
            <v>Passage</v>
          </cell>
          <cell r="D78" t="str">
            <v>Main Deck</v>
          </cell>
          <cell r="E78">
            <v>1.26</v>
          </cell>
          <cell r="F78">
            <v>3.52</v>
          </cell>
        </row>
        <row r="79">
          <cell r="B79" t="str">
            <v>1-31-4-Q</v>
          </cell>
          <cell r="C79" t="str">
            <v>5.5 m Rescue Boat Station</v>
          </cell>
          <cell r="D79" t="str">
            <v>Main Deck</v>
          </cell>
          <cell r="E79">
            <v>44.34</v>
          </cell>
          <cell r="F79">
            <v>115.7</v>
          </cell>
        </row>
        <row r="80">
          <cell r="B80" t="str">
            <v>1-32-0-Q</v>
          </cell>
          <cell r="C80" t="str">
            <v>Power Conversion Room No. 1</v>
          </cell>
          <cell r="D80" t="str">
            <v>Main Deck</v>
          </cell>
          <cell r="E80">
            <v>5.97</v>
          </cell>
          <cell r="F80">
            <v>16.72</v>
          </cell>
        </row>
        <row r="81">
          <cell r="B81" t="str">
            <v>1-32-1-T</v>
          </cell>
          <cell r="C81" t="str">
            <v>Uptake Trunk</v>
          </cell>
          <cell r="D81" t="str">
            <v>Main Deck</v>
          </cell>
          <cell r="E81">
            <v>11.04</v>
          </cell>
          <cell r="F81">
            <v>100.72</v>
          </cell>
          <cell r="G81" t="str">
            <v>04 Level</v>
          </cell>
        </row>
        <row r="82">
          <cell r="B82" t="str">
            <v>1-32-2-T</v>
          </cell>
          <cell r="C82" t="str">
            <v>Uptake Trunk</v>
          </cell>
          <cell r="D82" t="str">
            <v>Main Deck</v>
          </cell>
          <cell r="E82">
            <v>11</v>
          </cell>
          <cell r="F82">
            <v>100.72</v>
          </cell>
          <cell r="G82" t="str">
            <v>04 Level</v>
          </cell>
        </row>
        <row r="83">
          <cell r="B83" t="str">
            <v>1-32-3-T</v>
          </cell>
          <cell r="C83" t="str">
            <v>Intake Trunk</v>
          </cell>
          <cell r="D83" t="str">
            <v>Main Deck</v>
          </cell>
          <cell r="E83">
            <v>2.4</v>
          </cell>
          <cell r="F83">
            <v>5.66</v>
          </cell>
          <cell r="G83" t="str">
            <v>01 Level</v>
          </cell>
        </row>
        <row r="84">
          <cell r="B84" t="str">
            <v>1-33-1-L</v>
          </cell>
          <cell r="C84" t="str">
            <v>Decontamination Station (Contam Purge Lock)</v>
          </cell>
          <cell r="D84" t="str">
            <v>Main Deck</v>
          </cell>
          <cell r="E84">
            <v>1.89</v>
          </cell>
          <cell r="F84">
            <v>5.29</v>
          </cell>
        </row>
        <row r="85">
          <cell r="B85" t="str">
            <v>1-33-3-L</v>
          </cell>
          <cell r="C85" t="str">
            <v>Decontamination Station (Inner Undressing Area)</v>
          </cell>
          <cell r="D85" t="str">
            <v>Main Deck</v>
          </cell>
          <cell r="E85">
            <v>4.38</v>
          </cell>
          <cell r="F85">
            <v>9.74</v>
          </cell>
        </row>
        <row r="86">
          <cell r="B86" t="str">
            <v>1-34-3-L</v>
          </cell>
          <cell r="C86" t="str">
            <v>Decontamination Station (Shower Area)</v>
          </cell>
          <cell r="D86" t="str">
            <v>Main Deck</v>
          </cell>
          <cell r="E86">
            <v>1.93</v>
          </cell>
          <cell r="F86">
            <v>5.4</v>
          </cell>
        </row>
        <row r="87">
          <cell r="B87" t="str">
            <v>1-35-1-L</v>
          </cell>
          <cell r="C87" t="str">
            <v>Decontamination Station (Outer Undressing Area)</v>
          </cell>
          <cell r="D87" t="str">
            <v>Main Deck</v>
          </cell>
          <cell r="E87">
            <v>4.1500000000000004</v>
          </cell>
          <cell r="F87">
            <v>10.36</v>
          </cell>
        </row>
        <row r="88">
          <cell r="B88" t="str">
            <v>1-36-0-K</v>
          </cell>
          <cell r="C88" t="str">
            <v>HAZMAT Locker</v>
          </cell>
          <cell r="D88" t="str">
            <v>Main Deck</v>
          </cell>
          <cell r="E88">
            <v>5.76</v>
          </cell>
          <cell r="F88">
            <v>16.13</v>
          </cell>
        </row>
        <row r="89">
          <cell r="B89" t="str">
            <v>1-36-01-Q</v>
          </cell>
          <cell r="C89" t="str">
            <v>Airborne Mission Zone</v>
          </cell>
          <cell r="D89" t="str">
            <v>Main Deck</v>
          </cell>
          <cell r="E89">
            <v>384.3</v>
          </cell>
          <cell r="F89">
            <v>2115.42</v>
          </cell>
          <cell r="G89" t="str">
            <v>Hangar; 01 Level</v>
          </cell>
        </row>
        <row r="90">
          <cell r="B90" t="str">
            <v>1-37-0-A</v>
          </cell>
          <cell r="C90" t="str">
            <v>Helo Crash &amp; Rescue Locker</v>
          </cell>
          <cell r="D90" t="str">
            <v>Main Deck</v>
          </cell>
          <cell r="E90">
            <v>4.41</v>
          </cell>
          <cell r="F90">
            <v>12.36</v>
          </cell>
        </row>
        <row r="91">
          <cell r="B91" t="str">
            <v>1-38-0-M</v>
          </cell>
          <cell r="C91" t="str">
            <v>Mission Ordnance Magazine No.1</v>
          </cell>
          <cell r="D91" t="str">
            <v>Main Deck</v>
          </cell>
          <cell r="E91">
            <v>26.35</v>
          </cell>
          <cell r="F91">
            <v>73.78</v>
          </cell>
        </row>
        <row r="92">
          <cell r="B92" t="str">
            <v>1-38-2-M</v>
          </cell>
          <cell r="C92" t="str">
            <v>Mission Ordnance Magazine No.2</v>
          </cell>
          <cell r="D92" t="str">
            <v>Main Deck</v>
          </cell>
          <cell r="E92">
            <v>11.58</v>
          </cell>
          <cell r="F92">
            <v>32.42</v>
          </cell>
        </row>
        <row r="93">
          <cell r="B93" t="str">
            <v>1-38-4-A</v>
          </cell>
          <cell r="C93" t="str">
            <v>Boat Gear Locker</v>
          </cell>
          <cell r="D93" t="str">
            <v>Main Deck</v>
          </cell>
          <cell r="E93">
            <v>0.79</v>
          </cell>
          <cell r="F93">
            <v>2.21</v>
          </cell>
        </row>
        <row r="94">
          <cell r="B94" t="str">
            <v>1-38-6-M</v>
          </cell>
          <cell r="C94" t="str">
            <v>AECM Build-Up Area &amp; Magazine</v>
          </cell>
          <cell r="D94" t="str">
            <v>Main Deck</v>
          </cell>
          <cell r="E94">
            <v>8.2899999999999991</v>
          </cell>
          <cell r="F94">
            <v>20.69</v>
          </cell>
        </row>
        <row r="95">
          <cell r="B95" t="str">
            <v>1-41-1-T</v>
          </cell>
          <cell r="C95" t="str">
            <v>Vent Plenum</v>
          </cell>
          <cell r="D95" t="str">
            <v>Main Deck</v>
          </cell>
          <cell r="E95">
            <v>1.77</v>
          </cell>
          <cell r="F95">
            <v>3.89</v>
          </cell>
        </row>
        <row r="96">
          <cell r="B96" t="str">
            <v>1-41-2-T</v>
          </cell>
          <cell r="C96" t="str">
            <v>Vent Plenum</v>
          </cell>
          <cell r="D96" t="str">
            <v>Main Deck</v>
          </cell>
          <cell r="E96">
            <v>5.72</v>
          </cell>
          <cell r="F96">
            <v>12.83</v>
          </cell>
        </row>
        <row r="97">
          <cell r="B97" t="str">
            <v>1-45-1-M</v>
          </cell>
          <cell r="C97" t="str">
            <v>Pyrotechnic Locker</v>
          </cell>
          <cell r="D97" t="str">
            <v>Main Deck</v>
          </cell>
          <cell r="E97">
            <v>2.7</v>
          </cell>
          <cell r="F97">
            <v>5.42</v>
          </cell>
        </row>
        <row r="98">
          <cell r="B98" t="str">
            <v>1-45-2-T</v>
          </cell>
          <cell r="C98" t="str">
            <v>Vent Plenum</v>
          </cell>
          <cell r="D98" t="str">
            <v>Main Deck</v>
          </cell>
          <cell r="E98">
            <v>1.46</v>
          </cell>
          <cell r="F98">
            <v>3.03</v>
          </cell>
        </row>
        <row r="99">
          <cell r="B99" t="str">
            <v>1-47-1-T</v>
          </cell>
          <cell r="C99" t="str">
            <v>Intake Trunk</v>
          </cell>
          <cell r="D99" t="str">
            <v>Main Deck</v>
          </cell>
          <cell r="E99">
            <v>1.34</v>
          </cell>
          <cell r="F99">
            <v>2.8</v>
          </cell>
          <cell r="G99" t="str">
            <v>01 Level</v>
          </cell>
        </row>
        <row r="100">
          <cell r="B100" t="str">
            <v>1-51-1-T</v>
          </cell>
          <cell r="C100" t="str">
            <v>Vent Plenum</v>
          </cell>
          <cell r="D100" t="str">
            <v>Main Deck</v>
          </cell>
          <cell r="E100">
            <v>0.96299999999999997</v>
          </cell>
          <cell r="F100">
            <v>2.6963999999999997</v>
          </cell>
        </row>
        <row r="101">
          <cell r="B101" t="str">
            <v>1-54-2-Q</v>
          </cell>
          <cell r="C101" t="str">
            <v>Aviation Workshop</v>
          </cell>
          <cell r="D101" t="str">
            <v>Main Deck</v>
          </cell>
          <cell r="E101">
            <v>11.4</v>
          </cell>
          <cell r="F101">
            <v>31.92</v>
          </cell>
        </row>
        <row r="102">
          <cell r="B102" t="str">
            <v>1-54-4-T</v>
          </cell>
          <cell r="C102" t="str">
            <v>Access Trunk</v>
          </cell>
          <cell r="D102" t="str">
            <v>Main Deck</v>
          </cell>
          <cell r="E102">
            <v>7.97</v>
          </cell>
          <cell r="F102">
            <v>17.600000000000001</v>
          </cell>
        </row>
        <row r="103">
          <cell r="B103" t="str">
            <v>1-56-2-A</v>
          </cell>
          <cell r="C103" t="str">
            <v>Deck Gear Storeroom</v>
          </cell>
          <cell r="D103" t="str">
            <v>Main Deck</v>
          </cell>
          <cell r="E103">
            <v>2.8</v>
          </cell>
          <cell r="F103">
            <v>4.9400000000000004</v>
          </cell>
        </row>
        <row r="104">
          <cell r="B104" t="str">
            <v>1-56-4-F</v>
          </cell>
          <cell r="C104" t="str">
            <v>Helo Fueling Station</v>
          </cell>
          <cell r="D104" t="str">
            <v>Main Deck</v>
          </cell>
          <cell r="E104">
            <v>2.95</v>
          </cell>
          <cell r="F104">
            <v>5.21</v>
          </cell>
        </row>
        <row r="105">
          <cell r="B105" t="str">
            <v>2-E-0-A</v>
          </cell>
          <cell r="C105" t="str">
            <v>Windlass Machinery &amp; Bosun Storeroom</v>
          </cell>
          <cell r="D105" t="str">
            <v>1st Platform</v>
          </cell>
          <cell r="E105">
            <v>54.5</v>
          </cell>
          <cell r="F105">
            <v>225.59</v>
          </cell>
        </row>
        <row r="106">
          <cell r="B106" t="str">
            <v>2-4-0-Q</v>
          </cell>
          <cell r="C106" t="str">
            <v>Mechanical/Electrical Shop</v>
          </cell>
          <cell r="D106" t="str">
            <v>1st Platform</v>
          </cell>
          <cell r="E106">
            <v>28.64</v>
          </cell>
          <cell r="F106">
            <v>125.01</v>
          </cell>
        </row>
        <row r="107">
          <cell r="B107" t="str">
            <v>2-4-1-A</v>
          </cell>
          <cell r="C107" t="str">
            <v>Mechanical Storeroom</v>
          </cell>
          <cell r="D107" t="str">
            <v>1st Platform</v>
          </cell>
          <cell r="E107">
            <v>15.95</v>
          </cell>
          <cell r="F107">
            <v>84</v>
          </cell>
        </row>
        <row r="108">
          <cell r="B108" t="str">
            <v>2-6-0-L</v>
          </cell>
          <cell r="C108" t="str">
            <v>Passage</v>
          </cell>
          <cell r="D108" t="str">
            <v>1st Platform</v>
          </cell>
          <cell r="E108">
            <v>14.06</v>
          </cell>
          <cell r="F108">
            <v>50.5</v>
          </cell>
        </row>
        <row r="109">
          <cell r="B109" t="str">
            <v>2-7-2-M</v>
          </cell>
          <cell r="C109" t="str">
            <v>Small Arms Magazine</v>
          </cell>
          <cell r="D109" t="str">
            <v>1st Platform</v>
          </cell>
          <cell r="E109">
            <v>5.49</v>
          </cell>
          <cell r="F109">
            <v>30.41</v>
          </cell>
        </row>
        <row r="110">
          <cell r="B110" t="str">
            <v>2-8-1-Q</v>
          </cell>
          <cell r="C110" t="str">
            <v>Ship Office</v>
          </cell>
          <cell r="D110" t="str">
            <v>1st Platform</v>
          </cell>
          <cell r="E110">
            <v>14.88</v>
          </cell>
          <cell r="F110">
            <v>66.67</v>
          </cell>
        </row>
        <row r="111">
          <cell r="B111" t="str">
            <v>2-9-0-Q</v>
          </cell>
          <cell r="C111" t="str">
            <v>Electronics Room</v>
          </cell>
          <cell r="D111" t="str">
            <v>1st Platform</v>
          </cell>
          <cell r="E111">
            <v>8.23</v>
          </cell>
          <cell r="F111">
            <v>29.61</v>
          </cell>
        </row>
        <row r="112">
          <cell r="B112" t="str">
            <v>2-9-2-A</v>
          </cell>
          <cell r="C112" t="str">
            <v>Armory</v>
          </cell>
          <cell r="D112" t="str">
            <v>1st Platform</v>
          </cell>
          <cell r="E112">
            <v>6.86</v>
          </cell>
          <cell r="F112">
            <v>33.19</v>
          </cell>
        </row>
        <row r="113">
          <cell r="B113" t="str">
            <v>2-11-01-L</v>
          </cell>
          <cell r="C113" t="str">
            <v>Passage</v>
          </cell>
          <cell r="D113" t="str">
            <v>1st Platform</v>
          </cell>
          <cell r="E113">
            <v>21.44</v>
          </cell>
          <cell r="F113">
            <v>70.540000000000006</v>
          </cell>
        </row>
        <row r="114">
          <cell r="B114" t="str">
            <v>2-11-0-M</v>
          </cell>
          <cell r="C114" t="str">
            <v>57 mm Gun Ready Service Room &amp; Magazine</v>
          </cell>
          <cell r="D114" t="str">
            <v>1st Platform</v>
          </cell>
          <cell r="E114">
            <v>27.6</v>
          </cell>
          <cell r="F114">
            <v>93.73</v>
          </cell>
        </row>
        <row r="115">
          <cell r="B115" t="str">
            <v>2-11-1-T</v>
          </cell>
          <cell r="C115" t="str">
            <v>Escape Trunk</v>
          </cell>
          <cell r="D115" t="str">
            <v>1st Platform</v>
          </cell>
          <cell r="E115">
            <v>1.2</v>
          </cell>
          <cell r="F115">
            <v>3.76</v>
          </cell>
          <cell r="G115" t="str">
            <v>Main Deck</v>
          </cell>
        </row>
        <row r="116">
          <cell r="B116" t="str">
            <v>2-11-2-Q</v>
          </cell>
          <cell r="C116" t="str">
            <v>Fan Room</v>
          </cell>
          <cell r="D116" t="str">
            <v>1st Platform</v>
          </cell>
          <cell r="E116">
            <v>8.7789999999999999</v>
          </cell>
          <cell r="F116">
            <v>49.603999999999999</v>
          </cell>
        </row>
        <row r="117">
          <cell r="B117" t="str">
            <v>2-11-3-Q</v>
          </cell>
          <cell r="C117" t="str">
            <v>Laundry</v>
          </cell>
          <cell r="D117" t="str">
            <v>1st Platform</v>
          </cell>
          <cell r="E117">
            <v>12.34</v>
          </cell>
          <cell r="F117">
            <v>55.76</v>
          </cell>
        </row>
        <row r="118">
          <cell r="B118" t="str">
            <v>2-11-4-T</v>
          </cell>
          <cell r="C118" t="str">
            <v>Plenum</v>
          </cell>
          <cell r="D118" t="str">
            <v>1st Platform</v>
          </cell>
          <cell r="E118">
            <v>2.6360000000000001</v>
          </cell>
          <cell r="F118">
            <v>7.91</v>
          </cell>
        </row>
        <row r="119">
          <cell r="B119" t="str">
            <v>2-11-6-T</v>
          </cell>
          <cell r="C119" t="str">
            <v>Plenum</v>
          </cell>
          <cell r="D119" t="str">
            <v>1st Platform</v>
          </cell>
          <cell r="E119">
            <v>1.68</v>
          </cell>
          <cell r="F119">
            <v>3.5279999999999996</v>
          </cell>
        </row>
        <row r="120">
          <cell r="B120" t="str">
            <v>2-13-2-T</v>
          </cell>
          <cell r="C120" t="str">
            <v>Plenum</v>
          </cell>
          <cell r="D120" t="str">
            <v>1st Platform</v>
          </cell>
          <cell r="E120">
            <v>2.105</v>
          </cell>
          <cell r="F120">
            <v>6.32</v>
          </cell>
        </row>
        <row r="121">
          <cell r="B121" t="str">
            <v>2-13-4-T</v>
          </cell>
          <cell r="C121" t="str">
            <v>Plenum</v>
          </cell>
          <cell r="D121" t="str">
            <v>1st Platform</v>
          </cell>
          <cell r="E121">
            <v>1.68</v>
          </cell>
          <cell r="F121">
            <v>3.5279999999999996</v>
          </cell>
        </row>
        <row r="122">
          <cell r="B122" t="str">
            <v>2-15-0-Q</v>
          </cell>
          <cell r="C122" t="str">
            <v>Damage Control Repair Station 2</v>
          </cell>
          <cell r="D122" t="str">
            <v>1st Platform</v>
          </cell>
          <cell r="E122">
            <v>12.38</v>
          </cell>
          <cell r="F122">
            <v>39.89</v>
          </cell>
        </row>
        <row r="123">
          <cell r="B123" t="str">
            <v>2-15-1-L</v>
          </cell>
          <cell r="C123" t="str">
            <v>Chief Petty Officer (4) Stateroom</v>
          </cell>
          <cell r="D123" t="str">
            <v>1st Platform</v>
          </cell>
          <cell r="E123">
            <v>16.36</v>
          </cell>
          <cell r="F123">
            <v>62.72</v>
          </cell>
        </row>
        <row r="124">
          <cell r="B124" t="str">
            <v>2-15-2-L</v>
          </cell>
          <cell r="C124" t="str">
            <v>Chief Petty Officer (2) Stateroom</v>
          </cell>
          <cell r="D124" t="str">
            <v>1st Platform</v>
          </cell>
          <cell r="E124">
            <v>11.93</v>
          </cell>
          <cell r="F124">
            <v>48.67</v>
          </cell>
        </row>
        <row r="125">
          <cell r="B125" t="str">
            <v>2-15-3-L</v>
          </cell>
          <cell r="C125" t="str">
            <v>Chief Petty Officer Toilet/Shower</v>
          </cell>
          <cell r="D125" t="str">
            <v>1st Platform</v>
          </cell>
          <cell r="E125">
            <v>2.66</v>
          </cell>
          <cell r="F125">
            <v>5.83</v>
          </cell>
        </row>
        <row r="126">
          <cell r="B126" t="str">
            <v>2-17-2-L</v>
          </cell>
          <cell r="C126" t="str">
            <v>Chief Petty Officer Toilet/Shower</v>
          </cell>
          <cell r="D126" t="str">
            <v>1st Platform</v>
          </cell>
          <cell r="E126">
            <v>2.66</v>
          </cell>
          <cell r="F126">
            <v>5.83</v>
          </cell>
        </row>
        <row r="127">
          <cell r="B127" t="str">
            <v>2-18-0-L</v>
          </cell>
          <cell r="C127" t="str">
            <v>Passage</v>
          </cell>
          <cell r="D127" t="str">
            <v>1st Platform</v>
          </cell>
          <cell r="E127">
            <v>27.27</v>
          </cell>
          <cell r="F127">
            <v>77.419999999999987</v>
          </cell>
        </row>
        <row r="128">
          <cell r="B128" t="str">
            <v>2-18-1-C</v>
          </cell>
          <cell r="C128" t="str">
            <v>Mission Control Center</v>
          </cell>
          <cell r="D128" t="str">
            <v>1st Platform</v>
          </cell>
          <cell r="E128">
            <v>76.53</v>
          </cell>
          <cell r="F128">
            <v>250.21</v>
          </cell>
        </row>
        <row r="129">
          <cell r="B129" t="str">
            <v>2-18-2-L</v>
          </cell>
          <cell r="C129" t="str">
            <v>Chief Petty Officer (2) Stateroom</v>
          </cell>
          <cell r="D129" t="str">
            <v>1st Platform</v>
          </cell>
          <cell r="E129">
            <v>11.16</v>
          </cell>
          <cell r="F129">
            <v>42.42</v>
          </cell>
        </row>
        <row r="130">
          <cell r="B130" t="str">
            <v>2-19-2-L</v>
          </cell>
          <cell r="C130" t="str">
            <v>Water Closet</v>
          </cell>
          <cell r="D130" t="str">
            <v>1st Platform</v>
          </cell>
          <cell r="E130">
            <v>1.96</v>
          </cell>
          <cell r="F130">
            <v>4.3899999999999997</v>
          </cell>
        </row>
        <row r="131">
          <cell r="B131" t="str">
            <v>2-20-2-L</v>
          </cell>
          <cell r="C131" t="str">
            <v>Chief Petty Officer Toilet/Shower</v>
          </cell>
          <cell r="D131" t="str">
            <v>1st Platform</v>
          </cell>
          <cell r="E131">
            <v>2.66</v>
          </cell>
          <cell r="F131">
            <v>5.83</v>
          </cell>
        </row>
        <row r="132">
          <cell r="B132" t="str">
            <v>2-21-2-L</v>
          </cell>
          <cell r="C132" t="str">
            <v>Chief Petty Officer (2) Stateroom</v>
          </cell>
          <cell r="D132" t="str">
            <v>1st Platform</v>
          </cell>
          <cell r="E132">
            <v>11.63</v>
          </cell>
          <cell r="F132">
            <v>42.29</v>
          </cell>
        </row>
        <row r="133">
          <cell r="B133" t="str">
            <v>2-23-2-L</v>
          </cell>
          <cell r="C133" t="str">
            <v>Chief Petty Officer Toilet/Shower</v>
          </cell>
          <cell r="D133" t="str">
            <v>1st Platform</v>
          </cell>
          <cell r="E133">
            <v>2.66</v>
          </cell>
          <cell r="F133">
            <v>5.83</v>
          </cell>
        </row>
        <row r="134">
          <cell r="B134" t="str">
            <v>2-24-2-C</v>
          </cell>
          <cell r="C134" t="str">
            <v>CCS/Damage Control Central</v>
          </cell>
          <cell r="D134" t="str">
            <v>1st Platform</v>
          </cell>
          <cell r="E134">
            <v>21.38</v>
          </cell>
          <cell r="F134">
            <v>69.02</v>
          </cell>
        </row>
        <row r="135">
          <cell r="B135" t="str">
            <v>2-26-0-L</v>
          </cell>
          <cell r="C135" t="str">
            <v>Passage</v>
          </cell>
          <cell r="D135" t="str">
            <v>1st Platform</v>
          </cell>
          <cell r="E135">
            <v>16.7</v>
          </cell>
          <cell r="F135">
            <v>43.78</v>
          </cell>
        </row>
        <row r="136">
          <cell r="B136" t="str">
            <v>2-26-2-A</v>
          </cell>
          <cell r="C136" t="str">
            <v>Dry Provision Storeroom</v>
          </cell>
          <cell r="D136" t="str">
            <v>1st Platform</v>
          </cell>
          <cell r="E136">
            <v>27.33</v>
          </cell>
          <cell r="F136">
            <v>79.28</v>
          </cell>
        </row>
        <row r="137">
          <cell r="B137" t="str">
            <v>2-26-1-Q</v>
          </cell>
          <cell r="C137" t="str">
            <v>Turbine Start Room</v>
          </cell>
          <cell r="D137" t="str">
            <v>1st Platform</v>
          </cell>
          <cell r="E137">
            <v>29.07</v>
          </cell>
          <cell r="F137">
            <v>85.64</v>
          </cell>
        </row>
        <row r="138">
          <cell r="B138" t="str">
            <v>2-34-0-L</v>
          </cell>
          <cell r="C138" t="str">
            <v>Crew Messroom</v>
          </cell>
          <cell r="D138" t="str">
            <v>1st Platform</v>
          </cell>
          <cell r="E138">
            <v>79.36</v>
          </cell>
          <cell r="F138">
            <v>213.64</v>
          </cell>
        </row>
        <row r="139">
          <cell r="B139" t="str">
            <v>2-34-1-T</v>
          </cell>
          <cell r="C139" t="str">
            <v>Uptake Trunk</v>
          </cell>
          <cell r="D139" t="str">
            <v>1st Platform</v>
          </cell>
          <cell r="E139">
            <v>6.38</v>
          </cell>
          <cell r="F139">
            <v>70.3</v>
          </cell>
          <cell r="G139" t="str">
            <v>03 Level</v>
          </cell>
        </row>
        <row r="140">
          <cell r="B140" t="str">
            <v>2-34-2-T</v>
          </cell>
          <cell r="C140" t="str">
            <v>Uptake Trunk</v>
          </cell>
          <cell r="D140" t="str">
            <v>1st Platform</v>
          </cell>
          <cell r="E140">
            <v>6.23</v>
          </cell>
          <cell r="F140">
            <v>72.75</v>
          </cell>
          <cell r="G140" t="str">
            <v>03 Level</v>
          </cell>
        </row>
        <row r="141">
          <cell r="B141" t="str">
            <v>2-34-3-T</v>
          </cell>
          <cell r="C141" t="str">
            <v>Access Trunk</v>
          </cell>
          <cell r="D141" t="str">
            <v>1st Platform</v>
          </cell>
          <cell r="E141">
            <v>4.72</v>
          </cell>
          <cell r="F141">
            <v>12.63</v>
          </cell>
        </row>
        <row r="142">
          <cell r="B142" t="str">
            <v>2-34-4-Q</v>
          </cell>
          <cell r="C142" t="str">
            <v>Galley</v>
          </cell>
          <cell r="D142" t="str">
            <v>1st Platform</v>
          </cell>
          <cell r="E142">
            <v>40.74</v>
          </cell>
          <cell r="F142">
            <v>113.77</v>
          </cell>
        </row>
        <row r="143">
          <cell r="B143" t="str">
            <v>2-36-2-T</v>
          </cell>
          <cell r="C143" t="str">
            <v>Intake Trunk</v>
          </cell>
          <cell r="D143" t="str">
            <v>1st Platform</v>
          </cell>
          <cell r="E143">
            <v>4.22</v>
          </cell>
          <cell r="F143">
            <v>85.96</v>
          </cell>
          <cell r="G143" t="str">
            <v>01 Level</v>
          </cell>
        </row>
        <row r="144">
          <cell r="B144" t="str">
            <v>2-40-1-L</v>
          </cell>
          <cell r="C144" t="str">
            <v>Access Trunk</v>
          </cell>
          <cell r="D144" t="str">
            <v>1st Platform</v>
          </cell>
          <cell r="E144">
            <v>4.09</v>
          </cell>
          <cell r="F144">
            <v>10.629999999999999</v>
          </cell>
        </row>
        <row r="145">
          <cell r="B145" t="str">
            <v>2-40-2-Q</v>
          </cell>
          <cell r="C145" t="str">
            <v>Scullery</v>
          </cell>
          <cell r="D145" t="str">
            <v>1st Platform</v>
          </cell>
          <cell r="E145">
            <v>8.3699999999999992</v>
          </cell>
          <cell r="F145">
            <v>22.11</v>
          </cell>
        </row>
        <row r="146">
          <cell r="B146" t="str">
            <v>2-40-3-L</v>
          </cell>
          <cell r="C146" t="str">
            <v>Chief Petty Officer Messroom &amp; Lounge</v>
          </cell>
          <cell r="D146" t="str">
            <v>1st Platform</v>
          </cell>
          <cell r="E146">
            <v>27.39</v>
          </cell>
          <cell r="F146">
            <v>75.59</v>
          </cell>
        </row>
        <row r="147">
          <cell r="B147" t="str">
            <v>2-40-4-L</v>
          </cell>
          <cell r="C147" t="str">
            <v>Wardroom</v>
          </cell>
          <cell r="D147" t="str">
            <v>1st Platform</v>
          </cell>
          <cell r="E147">
            <v>34.619999999999997</v>
          </cell>
          <cell r="F147">
            <v>95.65</v>
          </cell>
        </row>
        <row r="148">
          <cell r="B148" t="str">
            <v>2-42-1-A</v>
          </cell>
          <cell r="C148" t="str">
            <v>Cleaning Gear Locker</v>
          </cell>
          <cell r="D148" t="str">
            <v>1st Platform</v>
          </cell>
          <cell r="E148">
            <v>0.38</v>
          </cell>
          <cell r="F148">
            <v>0.99</v>
          </cell>
        </row>
        <row r="149">
          <cell r="B149" t="str">
            <v>2-43-1-Q</v>
          </cell>
          <cell r="C149" t="str">
            <v>Damage Control Repair Station 3</v>
          </cell>
          <cell r="D149" t="str">
            <v>1st Platform</v>
          </cell>
          <cell r="E149">
            <v>12.26</v>
          </cell>
          <cell r="F149">
            <v>34.65</v>
          </cell>
        </row>
        <row r="150">
          <cell r="B150" t="str">
            <v>2-44-2-L</v>
          </cell>
          <cell r="C150" t="str">
            <v>Water Closet</v>
          </cell>
          <cell r="D150" t="str">
            <v>1st Platform</v>
          </cell>
          <cell r="E150">
            <v>2.17</v>
          </cell>
          <cell r="F150">
            <v>5.63</v>
          </cell>
        </row>
        <row r="151">
          <cell r="B151" t="str">
            <v>2-45-0-L</v>
          </cell>
          <cell r="C151" t="str">
            <v>Crew (8) Stateroom</v>
          </cell>
          <cell r="D151" t="str">
            <v>1st Platform</v>
          </cell>
          <cell r="E151">
            <v>27.3</v>
          </cell>
          <cell r="F151">
            <v>63.28</v>
          </cell>
        </row>
        <row r="152">
          <cell r="B152" t="str">
            <v>2-45-1-L</v>
          </cell>
          <cell r="C152" t="str">
            <v>Passage</v>
          </cell>
          <cell r="D152" t="str">
            <v>1st Platform</v>
          </cell>
          <cell r="E152">
            <v>8.7200000000000006</v>
          </cell>
          <cell r="F152">
            <v>21.55</v>
          </cell>
        </row>
        <row r="153">
          <cell r="B153" t="str">
            <v>2-45-2-L</v>
          </cell>
          <cell r="C153" t="str">
            <v>Passage</v>
          </cell>
          <cell r="D153" t="str">
            <v>1st Platform</v>
          </cell>
          <cell r="E153">
            <v>11.7594392371</v>
          </cell>
          <cell r="F153">
            <v>30.574542016460001</v>
          </cell>
        </row>
        <row r="154">
          <cell r="B154" t="str">
            <v>2-45-3-L</v>
          </cell>
          <cell r="C154" t="str">
            <v>Medical Treatment Room</v>
          </cell>
          <cell r="D154" t="str">
            <v>1st Platform</v>
          </cell>
          <cell r="E154">
            <v>26.29</v>
          </cell>
          <cell r="F154">
            <v>73.180000000000007</v>
          </cell>
        </row>
        <row r="155">
          <cell r="B155" t="str">
            <v>2-45-4-L</v>
          </cell>
          <cell r="C155" t="str">
            <v>Chief Petty Officer (2) Stateroom</v>
          </cell>
          <cell r="D155" t="str">
            <v>1st Platform</v>
          </cell>
          <cell r="E155">
            <v>11.86</v>
          </cell>
          <cell r="F155">
            <v>35.03</v>
          </cell>
        </row>
        <row r="156">
          <cell r="B156" t="str">
            <v>2-47-1-Q</v>
          </cell>
          <cell r="C156" t="str">
            <v>Electronic Equipment Room</v>
          </cell>
          <cell r="D156" t="str">
            <v>1st Platform</v>
          </cell>
          <cell r="E156">
            <v>2.63</v>
          </cell>
          <cell r="F156">
            <v>6.82</v>
          </cell>
        </row>
        <row r="157">
          <cell r="B157" t="str">
            <v>2-47-2-L</v>
          </cell>
          <cell r="C157" t="str">
            <v>Chief Petty Officer Toilet/Shower</v>
          </cell>
          <cell r="D157" t="str">
            <v>1st Platform</v>
          </cell>
          <cell r="E157">
            <v>2.66</v>
          </cell>
          <cell r="F157">
            <v>5.83</v>
          </cell>
        </row>
        <row r="158">
          <cell r="B158" t="str">
            <v>2-48-2-L</v>
          </cell>
          <cell r="C158" t="str">
            <v>Chief Petty Officer (2) Stateroom</v>
          </cell>
          <cell r="D158" t="str">
            <v>1st Platform</v>
          </cell>
          <cell r="E158">
            <v>11.86</v>
          </cell>
          <cell r="F158">
            <v>35.08</v>
          </cell>
        </row>
        <row r="159">
          <cell r="B159" t="str">
            <v>2-49-1-L</v>
          </cell>
          <cell r="C159" t="str">
            <v>Medical Treatment Room Toilet/Shower</v>
          </cell>
          <cell r="D159" t="str">
            <v>1st Platform</v>
          </cell>
          <cell r="E159">
            <v>2.66</v>
          </cell>
          <cell r="F159">
            <v>5.83</v>
          </cell>
        </row>
        <row r="160">
          <cell r="B160" t="str">
            <v>2-49-2-L</v>
          </cell>
          <cell r="C160" t="str">
            <v>Chief Petty Officer Toilet/Shower</v>
          </cell>
          <cell r="D160" t="str">
            <v>1st Platform</v>
          </cell>
          <cell r="E160">
            <v>2.66</v>
          </cell>
          <cell r="F160">
            <v>5.83</v>
          </cell>
        </row>
        <row r="161">
          <cell r="B161" t="str">
            <v>2-50-2-L</v>
          </cell>
          <cell r="C161" t="str">
            <v>Chief Petty Officer (2) Stateroom</v>
          </cell>
          <cell r="D161" t="str">
            <v>1st Platform</v>
          </cell>
          <cell r="E161">
            <v>11.91</v>
          </cell>
          <cell r="F161">
            <v>35.369999999999997</v>
          </cell>
        </row>
        <row r="162">
          <cell r="B162" t="str">
            <v>2-50-3-T</v>
          </cell>
          <cell r="C162" t="str">
            <v>Escape Trunk</v>
          </cell>
          <cell r="D162" t="str">
            <v>1st Platform</v>
          </cell>
          <cell r="E162">
            <v>1.35</v>
          </cell>
          <cell r="F162">
            <v>4.59</v>
          </cell>
          <cell r="G162" t="str">
            <v>Main Deck</v>
          </cell>
        </row>
        <row r="163">
          <cell r="B163" t="str">
            <v>2-50-4-L</v>
          </cell>
          <cell r="C163" t="str">
            <v>Chief Petty Officer Toilet/Shower</v>
          </cell>
          <cell r="D163" t="str">
            <v>1st Platform</v>
          </cell>
          <cell r="E163">
            <v>2.66</v>
          </cell>
          <cell r="F163">
            <v>5.83</v>
          </cell>
        </row>
        <row r="164">
          <cell r="B164" t="str">
            <v>2-51-0-L</v>
          </cell>
          <cell r="C164" t="str">
            <v>Crew Toilet/Shower</v>
          </cell>
          <cell r="D164" t="str">
            <v>1st Platform</v>
          </cell>
          <cell r="E164">
            <v>3.5</v>
          </cell>
          <cell r="F164">
            <v>7.69</v>
          </cell>
        </row>
        <row r="165">
          <cell r="B165" t="str">
            <v>2-51-1-L</v>
          </cell>
          <cell r="C165" t="str">
            <v>Crew (6) Stateroom</v>
          </cell>
          <cell r="D165" t="str">
            <v>1st Platform</v>
          </cell>
          <cell r="E165">
            <v>26.08</v>
          </cell>
          <cell r="F165">
            <v>71.83</v>
          </cell>
        </row>
        <row r="166">
          <cell r="B166" t="str">
            <v>2-52-0-L</v>
          </cell>
          <cell r="C166" t="str">
            <v>Crew Toilet/Shower</v>
          </cell>
          <cell r="D166" t="str">
            <v>1st Platform</v>
          </cell>
          <cell r="E166">
            <v>2.66</v>
          </cell>
          <cell r="F166">
            <v>5.83</v>
          </cell>
        </row>
        <row r="167">
          <cell r="B167" t="str">
            <v>2-52-01-L</v>
          </cell>
          <cell r="C167" t="str">
            <v>Crew (4) Stateroom</v>
          </cell>
          <cell r="D167" t="str">
            <v>1st Platform</v>
          </cell>
          <cell r="E167">
            <v>14.44</v>
          </cell>
          <cell r="F167">
            <v>31.52</v>
          </cell>
        </row>
        <row r="168">
          <cell r="B168" t="str">
            <v>2-52-1-L</v>
          </cell>
          <cell r="C168" t="str">
            <v>Crew Toilet/Shower</v>
          </cell>
          <cell r="D168" t="str">
            <v>1st Platform</v>
          </cell>
          <cell r="E168">
            <v>2.66</v>
          </cell>
          <cell r="F168">
            <v>5.83</v>
          </cell>
        </row>
        <row r="169">
          <cell r="B169" t="str">
            <v>2-52-2-T</v>
          </cell>
          <cell r="C169" t="str">
            <v>Access Trunk</v>
          </cell>
          <cell r="D169" t="str">
            <v>1st Platform</v>
          </cell>
          <cell r="E169">
            <v>6.1598492183999998</v>
          </cell>
          <cell r="F169">
            <v>16.015607967839998</v>
          </cell>
        </row>
        <row r="170">
          <cell r="B170" t="str">
            <v>2-52-4-A</v>
          </cell>
          <cell r="C170" t="str">
            <v>Trash Compactor Room/Storeroom</v>
          </cell>
          <cell r="D170" t="str">
            <v>1st Platform</v>
          </cell>
          <cell r="E170">
            <v>9.92</v>
          </cell>
          <cell r="F170">
            <v>28.35</v>
          </cell>
        </row>
        <row r="171">
          <cell r="B171" t="str">
            <v>2-61-2-W</v>
          </cell>
          <cell r="C171" t="str">
            <v>Water Mist Tank</v>
          </cell>
          <cell r="D171" t="str">
            <v>1st Platform</v>
          </cell>
          <cell r="E171">
            <v>0</v>
          </cell>
          <cell r="F171">
            <v>9.75</v>
          </cell>
        </row>
        <row r="172">
          <cell r="B172" t="str">
            <v>3-C-0-V</v>
          </cell>
          <cell r="C172" t="str">
            <v>Accessible Void</v>
          </cell>
          <cell r="D172" t="str">
            <v>2nd Platform</v>
          </cell>
          <cell r="E172">
            <v>0</v>
          </cell>
          <cell r="F172">
            <v>9.66</v>
          </cell>
        </row>
        <row r="173">
          <cell r="B173" t="str">
            <v>3-2-0-W</v>
          </cell>
          <cell r="C173" t="str">
            <v>Chain Locker Sump</v>
          </cell>
          <cell r="D173" t="str">
            <v>2nd Platform</v>
          </cell>
          <cell r="E173">
            <v>6.69</v>
          </cell>
          <cell r="F173">
            <v>6.72</v>
          </cell>
        </row>
        <row r="174">
          <cell r="B174" t="str">
            <v>3-2-1-V</v>
          </cell>
          <cell r="C174" t="str">
            <v>Inaccessible Void</v>
          </cell>
          <cell r="D174" t="str">
            <v>2nd Platform</v>
          </cell>
          <cell r="E174">
            <v>0</v>
          </cell>
          <cell r="F174">
            <v>1.1356710000000001</v>
          </cell>
        </row>
        <row r="175">
          <cell r="B175" t="str">
            <v>3-2-01-Q</v>
          </cell>
          <cell r="C175" t="str">
            <v>Chain Locker</v>
          </cell>
          <cell r="D175" t="str">
            <v>2nd Platform</v>
          </cell>
          <cell r="E175">
            <v>8.23</v>
          </cell>
          <cell r="F175">
            <v>20.83</v>
          </cell>
        </row>
        <row r="176">
          <cell r="B176" t="str">
            <v>3-4-1-A</v>
          </cell>
          <cell r="C176" t="str">
            <v>Baggage Room</v>
          </cell>
          <cell r="D176" t="str">
            <v>2nd Platform</v>
          </cell>
          <cell r="E176">
            <v>2.46</v>
          </cell>
          <cell r="F176">
            <v>11</v>
          </cell>
        </row>
        <row r="177">
          <cell r="B177" t="str">
            <v>3-4-2-A</v>
          </cell>
          <cell r="C177" t="str">
            <v>CBR Defense &amp; Special Clothing Storeroom</v>
          </cell>
          <cell r="D177" t="str">
            <v>2nd Platform</v>
          </cell>
          <cell r="E177">
            <v>13.73</v>
          </cell>
          <cell r="F177">
            <v>55.63</v>
          </cell>
        </row>
        <row r="178">
          <cell r="B178" t="str">
            <v>3-5-1-L</v>
          </cell>
          <cell r="C178" t="str">
            <v>Passage</v>
          </cell>
          <cell r="D178" t="str">
            <v>2nd Platform</v>
          </cell>
          <cell r="E178">
            <v>11.64</v>
          </cell>
          <cell r="F178">
            <v>40.49</v>
          </cell>
        </row>
        <row r="179">
          <cell r="B179" t="str">
            <v>3-7-1-K</v>
          </cell>
          <cell r="C179" t="str">
            <v>Gas Cylinder Storeroom</v>
          </cell>
          <cell r="D179" t="str">
            <v>2nd Platform</v>
          </cell>
          <cell r="E179">
            <v>6.79</v>
          </cell>
          <cell r="F179">
            <v>30.25</v>
          </cell>
        </row>
        <row r="180">
          <cell r="B180" t="str">
            <v>3-8-2-A</v>
          </cell>
          <cell r="C180" t="str">
            <v>Supply Dept Storeroom</v>
          </cell>
          <cell r="D180" t="str">
            <v>2nd Platform</v>
          </cell>
          <cell r="E180">
            <v>14.86</v>
          </cell>
          <cell r="F180">
            <v>54.58</v>
          </cell>
        </row>
        <row r="181">
          <cell r="B181" t="str">
            <v>3-10-1-K</v>
          </cell>
          <cell r="C181" t="str">
            <v>Flammable Liquid Storeroom</v>
          </cell>
          <cell r="D181" t="str">
            <v>2nd Platform</v>
          </cell>
          <cell r="E181">
            <v>7.83</v>
          </cell>
          <cell r="F181">
            <v>28.54</v>
          </cell>
        </row>
        <row r="182">
          <cell r="B182" t="str">
            <v>3-11-1-L</v>
          </cell>
          <cell r="C182" t="str">
            <v>Crew Lounge</v>
          </cell>
          <cell r="D182" t="str">
            <v>2nd Platform</v>
          </cell>
          <cell r="E182">
            <v>20.420000000000002</v>
          </cell>
          <cell r="F182">
            <v>72.09</v>
          </cell>
        </row>
        <row r="183">
          <cell r="B183" t="str">
            <v>3-11-2-L</v>
          </cell>
          <cell r="C183" t="str">
            <v>Crew (8) Stateroom</v>
          </cell>
          <cell r="D183" t="str">
            <v>2nd Platform</v>
          </cell>
          <cell r="E183">
            <v>34.590000000000003</v>
          </cell>
          <cell r="F183">
            <v>124.29</v>
          </cell>
        </row>
        <row r="184">
          <cell r="B184" t="str">
            <v>3-13-0-L</v>
          </cell>
          <cell r="C184" t="str">
            <v>Passage</v>
          </cell>
          <cell r="D184" t="str">
            <v>2nd Platform</v>
          </cell>
          <cell r="E184">
            <v>15.47</v>
          </cell>
          <cell r="F184">
            <v>43.35</v>
          </cell>
        </row>
        <row r="185">
          <cell r="B185" t="str">
            <v>3-14-2-L</v>
          </cell>
          <cell r="C185" t="str">
            <v>Crew Toilet/Shower</v>
          </cell>
          <cell r="D185" t="str">
            <v>2nd Platform</v>
          </cell>
          <cell r="E185">
            <v>3.5</v>
          </cell>
          <cell r="F185">
            <v>7.69</v>
          </cell>
        </row>
        <row r="186">
          <cell r="B186" t="str">
            <v>3-15-1-L</v>
          </cell>
          <cell r="C186" t="str">
            <v>Crew (4) Stateroom</v>
          </cell>
          <cell r="D186" t="str">
            <v>2nd Platform</v>
          </cell>
          <cell r="E186">
            <v>16.010000000000002</v>
          </cell>
          <cell r="F186">
            <v>59.11</v>
          </cell>
        </row>
        <row r="187">
          <cell r="B187" t="str">
            <v>3-17-1-L</v>
          </cell>
          <cell r="C187" t="str">
            <v>Crew Toilet/Shower</v>
          </cell>
          <cell r="D187" t="str">
            <v>2nd Platform</v>
          </cell>
          <cell r="E187">
            <v>2.66</v>
          </cell>
          <cell r="F187">
            <v>5.83</v>
          </cell>
        </row>
        <row r="188">
          <cell r="B188" t="str">
            <v>3-18-0-L</v>
          </cell>
          <cell r="C188" t="str">
            <v>Passage</v>
          </cell>
          <cell r="D188" t="str">
            <v>2nd Platform</v>
          </cell>
          <cell r="E188">
            <v>16.940000000000001</v>
          </cell>
          <cell r="F188">
            <v>47.36</v>
          </cell>
        </row>
        <row r="189">
          <cell r="B189" t="str">
            <v>3-18-1-L</v>
          </cell>
          <cell r="C189" t="str">
            <v>Crew (8) Stateroom</v>
          </cell>
          <cell r="D189" t="str">
            <v>2nd Platform</v>
          </cell>
          <cell r="E189">
            <v>34.15</v>
          </cell>
          <cell r="F189">
            <v>107.95</v>
          </cell>
        </row>
        <row r="190">
          <cell r="B190" t="str">
            <v>3-18-2-L</v>
          </cell>
          <cell r="C190" t="str">
            <v>Crew Toilet/Shower</v>
          </cell>
          <cell r="D190" t="str">
            <v>2nd Platform</v>
          </cell>
          <cell r="E190">
            <v>3.5</v>
          </cell>
          <cell r="F190">
            <v>7.69</v>
          </cell>
        </row>
        <row r="191">
          <cell r="B191" t="str">
            <v>3-18-4-L</v>
          </cell>
          <cell r="C191" t="str">
            <v>Crew (8) Stateroom</v>
          </cell>
          <cell r="D191" t="str">
            <v>2nd Platform</v>
          </cell>
          <cell r="E191">
            <v>31.17</v>
          </cell>
          <cell r="F191">
            <v>99.54</v>
          </cell>
        </row>
        <row r="192">
          <cell r="B192" t="str">
            <v>3-20-1-Q</v>
          </cell>
          <cell r="C192" t="str">
            <v>Ships Store Storeroom</v>
          </cell>
          <cell r="D192" t="str">
            <v>2nd Platform</v>
          </cell>
          <cell r="E192">
            <v>6.66</v>
          </cell>
          <cell r="F192">
            <v>18.82</v>
          </cell>
        </row>
        <row r="193">
          <cell r="B193" t="str">
            <v>3-20-2-T</v>
          </cell>
          <cell r="C193" t="str">
            <v>Access Trunk</v>
          </cell>
          <cell r="D193" t="str">
            <v>2nd Platform</v>
          </cell>
          <cell r="E193">
            <v>1.58</v>
          </cell>
          <cell r="F193">
            <v>4.53</v>
          </cell>
        </row>
        <row r="194">
          <cell r="B194" t="str">
            <v>3-20-3-T</v>
          </cell>
          <cell r="C194" t="str">
            <v>Uptake</v>
          </cell>
          <cell r="D194" t="str">
            <v>2nd Platform</v>
          </cell>
          <cell r="E194">
            <v>1.41</v>
          </cell>
          <cell r="F194">
            <v>6.73</v>
          </cell>
        </row>
        <row r="195">
          <cell r="B195" t="str">
            <v>3-20-4-T</v>
          </cell>
          <cell r="C195" t="str">
            <v>Uptake</v>
          </cell>
          <cell r="D195" t="str">
            <v>2nd Platform</v>
          </cell>
          <cell r="E195">
            <v>1.4</v>
          </cell>
          <cell r="F195">
            <v>6.73</v>
          </cell>
        </row>
        <row r="196">
          <cell r="B196" t="str">
            <v>3-21-1-L</v>
          </cell>
          <cell r="C196" t="str">
            <v>Crew Toilet/Shower</v>
          </cell>
          <cell r="D196" t="str">
            <v>2nd Platform</v>
          </cell>
          <cell r="E196">
            <v>3.5</v>
          </cell>
          <cell r="F196">
            <v>7.69</v>
          </cell>
        </row>
        <row r="197">
          <cell r="B197" t="str">
            <v>3-21-2-T</v>
          </cell>
          <cell r="C197" t="str">
            <v>Access Trunk</v>
          </cell>
          <cell r="D197" t="str">
            <v>2nd Platform</v>
          </cell>
          <cell r="E197">
            <v>1.17</v>
          </cell>
          <cell r="F197">
            <v>3.28</v>
          </cell>
        </row>
        <row r="198">
          <cell r="B198" t="str">
            <v>3-24-1-C</v>
          </cell>
          <cell r="C198" t="str">
            <v>Interior Communications &amp; Gyrocompass Room No. 1</v>
          </cell>
          <cell r="D198" t="str">
            <v>2nd Platform</v>
          </cell>
          <cell r="E198">
            <v>15.39</v>
          </cell>
          <cell r="F198">
            <v>46.87</v>
          </cell>
        </row>
        <row r="199">
          <cell r="B199" t="str">
            <v>3-24-2-L</v>
          </cell>
          <cell r="C199" t="str">
            <v>Physical Fitness Room</v>
          </cell>
          <cell r="D199" t="str">
            <v>2nd Platform</v>
          </cell>
          <cell r="E199">
            <v>11.04</v>
          </cell>
          <cell r="F199">
            <v>34.32</v>
          </cell>
        </row>
        <row r="200">
          <cell r="B200" t="str">
            <v>3-25-0-A</v>
          </cell>
          <cell r="C200" t="str">
            <v>Cleaning Gear Locker</v>
          </cell>
          <cell r="D200" t="str">
            <v>2nd Platform</v>
          </cell>
          <cell r="E200">
            <v>1.79</v>
          </cell>
          <cell r="F200">
            <v>5.0999999999999996</v>
          </cell>
        </row>
        <row r="201">
          <cell r="B201" t="str">
            <v>3-25-2-T</v>
          </cell>
          <cell r="C201" t="str">
            <v>Natural Vent Trunk</v>
          </cell>
          <cell r="D201" t="str">
            <v>2nd Platform</v>
          </cell>
          <cell r="E201">
            <v>1.63</v>
          </cell>
          <cell r="F201">
            <v>18.14</v>
          </cell>
          <cell r="G201" t="str">
            <v>02 Level</v>
          </cell>
        </row>
        <row r="202">
          <cell r="B202" t="str">
            <v>3-30-2-T</v>
          </cell>
          <cell r="C202" t="str">
            <v>Escape Trunk</v>
          </cell>
          <cell r="D202" t="str">
            <v>2nd Platform</v>
          </cell>
          <cell r="E202">
            <v>1.19</v>
          </cell>
          <cell r="F202">
            <v>4.18</v>
          </cell>
          <cell r="G202" t="str">
            <v>01 Level</v>
          </cell>
        </row>
        <row r="203">
          <cell r="B203" t="str">
            <v>3-34-1-F</v>
          </cell>
          <cell r="C203" t="str">
            <v>Waste Oil Tank</v>
          </cell>
          <cell r="D203" t="str">
            <v>2nd Platform</v>
          </cell>
          <cell r="E203">
            <v>0</v>
          </cell>
          <cell r="F203">
            <v>12.89</v>
          </cell>
        </row>
        <row r="204">
          <cell r="B204" t="str">
            <v>3-34-2-F</v>
          </cell>
          <cell r="C204" t="str">
            <v>Reduction Gear LO Settling Tank</v>
          </cell>
          <cell r="D204" t="str">
            <v>2nd Platform</v>
          </cell>
          <cell r="E204">
            <v>0</v>
          </cell>
          <cell r="F204">
            <v>4.47</v>
          </cell>
        </row>
        <row r="205">
          <cell r="B205" t="str">
            <v>3-34-4-F</v>
          </cell>
          <cell r="C205" t="str">
            <v>Reduction Gear LO Settling Tank</v>
          </cell>
          <cell r="D205" t="str">
            <v>2nd Platform</v>
          </cell>
          <cell r="E205">
            <v>0</v>
          </cell>
          <cell r="F205">
            <v>4.4800000000000004</v>
          </cell>
        </row>
        <row r="206">
          <cell r="B206" t="str">
            <v>3-36-1-F</v>
          </cell>
          <cell r="C206" t="str">
            <v>Oily Waste Holding Tank</v>
          </cell>
          <cell r="D206" t="str">
            <v>2nd Platform</v>
          </cell>
          <cell r="E206">
            <v>0</v>
          </cell>
          <cell r="F206">
            <v>5.82</v>
          </cell>
        </row>
        <row r="207">
          <cell r="B207" t="str">
            <v>3-40-3-F</v>
          </cell>
          <cell r="C207" t="str">
            <v>Propulsion Diesel Head Tank</v>
          </cell>
          <cell r="D207" t="str">
            <v>2nd Platform</v>
          </cell>
          <cell r="E207">
            <v>0</v>
          </cell>
          <cell r="F207">
            <v>1.03</v>
          </cell>
        </row>
        <row r="208">
          <cell r="B208" t="str">
            <v>3-40-4-F</v>
          </cell>
          <cell r="C208" t="str">
            <v>Propulsion Diesel Head Tank</v>
          </cell>
          <cell r="D208" t="str">
            <v>2nd Platform</v>
          </cell>
          <cell r="E208">
            <v>0</v>
          </cell>
          <cell r="F208">
            <v>1.03</v>
          </cell>
        </row>
        <row r="209">
          <cell r="B209" t="str">
            <v>3-45-0-Q</v>
          </cell>
          <cell r="C209" t="str">
            <v>Reconfigurable Space No. 1</v>
          </cell>
          <cell r="D209" t="str">
            <v>2nd Platform</v>
          </cell>
          <cell r="E209">
            <v>132.84</v>
          </cell>
          <cell r="F209">
            <v>476.39</v>
          </cell>
        </row>
        <row r="210">
          <cell r="B210" t="str">
            <v>3-46-1-T</v>
          </cell>
          <cell r="C210" t="str">
            <v xml:space="preserve">Diesel Exhaust Trunk </v>
          </cell>
          <cell r="D210" t="str">
            <v>2nd Platform</v>
          </cell>
          <cell r="E210">
            <v>1.7</v>
          </cell>
          <cell r="F210">
            <v>7.35</v>
          </cell>
        </row>
        <row r="211">
          <cell r="B211" t="str">
            <v>3-46-2-L</v>
          </cell>
          <cell r="C211" t="str">
            <v>Water Closet</v>
          </cell>
          <cell r="D211" t="str">
            <v>2nd Platform</v>
          </cell>
          <cell r="E211">
            <v>2.21</v>
          </cell>
          <cell r="F211">
            <v>7.2</v>
          </cell>
        </row>
        <row r="212">
          <cell r="B212" t="str">
            <v>3-47-2-C</v>
          </cell>
          <cell r="C212" t="str">
            <v>Gyrocompass Room No. 2</v>
          </cell>
          <cell r="D212" t="str">
            <v>2nd Platform</v>
          </cell>
          <cell r="E212">
            <v>10.23</v>
          </cell>
          <cell r="F212">
            <v>36.49</v>
          </cell>
        </row>
        <row r="213">
          <cell r="B213" t="str">
            <v>3-47-4-V</v>
          </cell>
          <cell r="C213" t="str">
            <v xml:space="preserve">Diesel Exhaust Trunk </v>
          </cell>
          <cell r="D213" t="str">
            <v>2nd Platform</v>
          </cell>
          <cell r="E213">
            <v>1.73</v>
          </cell>
          <cell r="F213">
            <v>7.41</v>
          </cell>
        </row>
        <row r="214">
          <cell r="B214" t="str">
            <v>3-48-1-T</v>
          </cell>
          <cell r="C214" t="str">
            <v>Vent Trunk</v>
          </cell>
          <cell r="D214" t="str">
            <v>2nd Platform</v>
          </cell>
          <cell r="E214">
            <v>1.75</v>
          </cell>
          <cell r="F214">
            <v>16.03</v>
          </cell>
          <cell r="G214" t="str">
            <v>02 Level</v>
          </cell>
        </row>
        <row r="215">
          <cell r="B215" t="str">
            <v>3-50-2-C</v>
          </cell>
          <cell r="C215" t="str">
            <v>Combat Systems Equipment Room 4</v>
          </cell>
          <cell r="D215" t="str">
            <v>2nd Platform</v>
          </cell>
          <cell r="E215">
            <v>15.45</v>
          </cell>
          <cell r="F215">
            <v>55.77</v>
          </cell>
        </row>
        <row r="216">
          <cell r="B216" t="str">
            <v>3-54-0-Q</v>
          </cell>
          <cell r="C216" t="str">
            <v>Reconfigurable Space No. 2</v>
          </cell>
          <cell r="D216" t="str">
            <v>2nd Platform</v>
          </cell>
          <cell r="E216">
            <v>253.75</v>
          </cell>
          <cell r="F216">
            <v>1339.7747729</v>
          </cell>
          <cell r="G216" t="str">
            <v>1st Plat</v>
          </cell>
        </row>
        <row r="217">
          <cell r="B217" t="str">
            <v>3-54-1-T</v>
          </cell>
          <cell r="C217" t="str">
            <v>Escape Trunk</v>
          </cell>
          <cell r="D217" t="str">
            <v>2nd Platform</v>
          </cell>
          <cell r="E217">
            <v>4.42</v>
          </cell>
          <cell r="F217">
            <v>21.28</v>
          </cell>
          <cell r="G217" t="str">
            <v>Main Deck</v>
          </cell>
        </row>
        <row r="218">
          <cell r="B218" t="str">
            <v>3-61-1-V</v>
          </cell>
          <cell r="C218" t="str">
            <v>Buoyancy Tank</v>
          </cell>
          <cell r="D218" t="str">
            <v>2nd Platform</v>
          </cell>
          <cell r="E218">
            <v>0</v>
          </cell>
          <cell r="F218">
            <v>15.8752271</v>
          </cell>
          <cell r="G218" t="str">
            <v>1st Plat</v>
          </cell>
        </row>
        <row r="219">
          <cell r="B219" t="str">
            <v>3-65-0-Q</v>
          </cell>
          <cell r="C219" t="str">
            <v>Waterborne Mission Zone</v>
          </cell>
          <cell r="D219" t="str">
            <v>2nd Platform</v>
          </cell>
          <cell r="E219">
            <v>234.0704194944</v>
          </cell>
          <cell r="F219">
            <v>1242.4291893</v>
          </cell>
        </row>
        <row r="220">
          <cell r="B220" t="str">
            <v>3-65-2-T</v>
          </cell>
          <cell r="C220" t="str">
            <v>Escape Trunk</v>
          </cell>
          <cell r="D220" t="str">
            <v>2nd Platform</v>
          </cell>
          <cell r="E220">
            <v>2.4500000000000002</v>
          </cell>
          <cell r="F220">
            <v>13.29</v>
          </cell>
          <cell r="G220" t="str">
            <v>Main Deck</v>
          </cell>
        </row>
        <row r="221">
          <cell r="B221" t="str">
            <v>3-66-2-V</v>
          </cell>
          <cell r="C221" t="str">
            <v>Buoyancy Tank</v>
          </cell>
          <cell r="D221" t="str">
            <v>2nd Platform</v>
          </cell>
          <cell r="E221">
            <v>0</v>
          </cell>
          <cell r="F221">
            <v>62.31</v>
          </cell>
        </row>
        <row r="222">
          <cell r="B222" t="str">
            <v>3-73-1-Q</v>
          </cell>
          <cell r="C222" t="str">
            <v>Unassigned</v>
          </cell>
          <cell r="D222" t="str">
            <v>2nd Platform</v>
          </cell>
          <cell r="E222">
            <v>12.100765190800001</v>
          </cell>
          <cell r="F222">
            <v>55.661853899999997</v>
          </cell>
        </row>
        <row r="223">
          <cell r="B223" t="str">
            <v>5-A-0-W</v>
          </cell>
          <cell r="C223" t="str">
            <v>Ballast Tank</v>
          </cell>
          <cell r="D223" t="str">
            <v>Tank Top</v>
          </cell>
          <cell r="E223">
            <v>0</v>
          </cell>
          <cell r="F223">
            <v>109.68432899999999</v>
          </cell>
        </row>
        <row r="224">
          <cell r="B224" t="str">
            <v>4-7-0-V</v>
          </cell>
          <cell r="C224" t="str">
            <v>Accessible Void</v>
          </cell>
          <cell r="D224" t="str">
            <v>Tank Top</v>
          </cell>
          <cell r="E224">
            <v>6.14</v>
          </cell>
          <cell r="F224">
            <v>24.85</v>
          </cell>
        </row>
        <row r="225">
          <cell r="B225" t="str">
            <v>4-8-0-W</v>
          </cell>
          <cell r="C225" t="str">
            <v>Potable Water Tank</v>
          </cell>
          <cell r="D225" t="str">
            <v>Tank Top</v>
          </cell>
          <cell r="E225">
            <v>0</v>
          </cell>
          <cell r="F225">
            <v>10.31</v>
          </cell>
        </row>
        <row r="226">
          <cell r="B226" t="str">
            <v>4-10-0-W</v>
          </cell>
          <cell r="C226" t="str">
            <v>Potable Water Tank</v>
          </cell>
          <cell r="D226" t="str">
            <v>Tank Top</v>
          </cell>
          <cell r="E226">
            <v>0</v>
          </cell>
          <cell r="F226">
            <v>10.09</v>
          </cell>
        </row>
        <row r="227">
          <cell r="B227" t="str">
            <v>4-11-0-E</v>
          </cell>
          <cell r="C227" t="str">
            <v>Pump Room</v>
          </cell>
          <cell r="D227" t="str">
            <v>Tank Top</v>
          </cell>
          <cell r="E227">
            <v>20.9</v>
          </cell>
          <cell r="F227">
            <v>68.260000000000005</v>
          </cell>
        </row>
        <row r="228">
          <cell r="B228" t="str">
            <v>4-11-1-F</v>
          </cell>
          <cell r="C228" t="str">
            <v>Fuel Oil Tank</v>
          </cell>
          <cell r="D228" t="str">
            <v>Tank Top</v>
          </cell>
          <cell r="E228">
            <v>0</v>
          </cell>
          <cell r="F228">
            <v>13.34</v>
          </cell>
        </row>
        <row r="229">
          <cell r="B229" t="str">
            <v>4-11-2-F</v>
          </cell>
          <cell r="C229" t="str">
            <v>Fuel Oil Tank</v>
          </cell>
          <cell r="D229" t="str">
            <v>Tank Top</v>
          </cell>
          <cell r="E229">
            <v>0</v>
          </cell>
          <cell r="F229">
            <v>13.34</v>
          </cell>
        </row>
        <row r="230">
          <cell r="B230" t="str">
            <v>4-15-0-E</v>
          </cell>
          <cell r="C230" t="str">
            <v>Sanitary Equipment Room</v>
          </cell>
          <cell r="D230" t="str">
            <v>Tank Top</v>
          </cell>
          <cell r="E230">
            <v>14.786</v>
          </cell>
          <cell r="F230">
            <v>77.25</v>
          </cell>
        </row>
        <row r="231">
          <cell r="B231" t="str">
            <v>4-17-0-W</v>
          </cell>
          <cell r="C231" t="str">
            <v>CHT Tank</v>
          </cell>
          <cell r="D231" t="str">
            <v>Tank Top</v>
          </cell>
          <cell r="E231">
            <v>0</v>
          </cell>
          <cell r="F231">
            <v>9.56</v>
          </cell>
        </row>
        <row r="232">
          <cell r="B232" t="str">
            <v>4-18-1-F</v>
          </cell>
          <cell r="C232" t="str">
            <v>SSDG Fuel Service Tank No. 1</v>
          </cell>
          <cell r="D232" t="str">
            <v>Tank Top</v>
          </cell>
          <cell r="E232">
            <v>0</v>
          </cell>
          <cell r="F232">
            <v>2.87</v>
          </cell>
          <cell r="G232" t="str">
            <v>Free Standing Tank</v>
          </cell>
        </row>
        <row r="233">
          <cell r="B233" t="str">
            <v>4-18-1-T</v>
          </cell>
          <cell r="C233" t="str">
            <v>Escape Trunk</v>
          </cell>
          <cell r="D233" t="str">
            <v>Tank Top</v>
          </cell>
          <cell r="E233">
            <v>1.68</v>
          </cell>
          <cell r="F233">
            <v>14.51</v>
          </cell>
          <cell r="G233" t="str">
            <v>Main Deck</v>
          </cell>
        </row>
        <row r="234">
          <cell r="B234" t="str">
            <v>4-18-2-F</v>
          </cell>
          <cell r="C234" t="str">
            <v>SSDG Fuel Service Tank No. 2</v>
          </cell>
          <cell r="D234" t="str">
            <v>Tank Top</v>
          </cell>
          <cell r="E234">
            <v>0</v>
          </cell>
          <cell r="F234">
            <v>2.87</v>
          </cell>
          <cell r="G234" t="str">
            <v>Free Standing Tank</v>
          </cell>
        </row>
        <row r="235">
          <cell r="B235" t="str">
            <v>5-18-01-E</v>
          </cell>
          <cell r="C235" t="str">
            <v>Auxiliary Machinery Room No. 1</v>
          </cell>
          <cell r="D235" t="str">
            <v>Tank Top</v>
          </cell>
          <cell r="E235">
            <v>36.89</v>
          </cell>
          <cell r="F235">
            <v>292.75</v>
          </cell>
        </row>
        <row r="236">
          <cell r="B236" t="str">
            <v>5-20-1-F</v>
          </cell>
          <cell r="C236" t="str">
            <v>SSDG Lube Oil Storage Tank</v>
          </cell>
          <cell r="D236" t="str">
            <v>Tank Top</v>
          </cell>
          <cell r="E236">
            <v>0</v>
          </cell>
          <cell r="F236">
            <v>0.25</v>
          </cell>
          <cell r="G236" t="str">
            <v>Free Standing Tank</v>
          </cell>
        </row>
        <row r="237">
          <cell r="B237" t="str">
            <v>5-26-01-E</v>
          </cell>
          <cell r="C237" t="str">
            <v>Gas Turbine Machinery Room</v>
          </cell>
          <cell r="D237" t="str">
            <v>Tank Top</v>
          </cell>
          <cell r="E237">
            <v>81.819999999999993</v>
          </cell>
          <cell r="F237">
            <v>1028.47</v>
          </cell>
          <cell r="G237" t="str">
            <v>2nd Plat, 1st Plat</v>
          </cell>
        </row>
        <row r="238">
          <cell r="B238" t="str">
            <v>5-34-0-E</v>
          </cell>
          <cell r="C238" t="str">
            <v>Main Machinery Room</v>
          </cell>
          <cell r="D238" t="str">
            <v>Tank Top</v>
          </cell>
          <cell r="E238">
            <v>189.79</v>
          </cell>
          <cell r="F238">
            <v>1155.7</v>
          </cell>
          <cell r="G238" t="str">
            <v>2nd Plat; LCS 5 - 13 Only</v>
          </cell>
        </row>
        <row r="239">
          <cell r="B239" t="str">
            <v>4-37-2-F</v>
          </cell>
          <cell r="C239" t="str">
            <v>Propulsion Diesel LO Storage Tank</v>
          </cell>
          <cell r="D239" t="str">
            <v>Tank Top</v>
          </cell>
          <cell r="E239">
            <v>0</v>
          </cell>
          <cell r="F239">
            <v>3.88</v>
          </cell>
        </row>
        <row r="240">
          <cell r="B240" t="str">
            <v>4-38-1-F</v>
          </cell>
          <cell r="C240" t="str">
            <v>Propulsion Diesel Dirty Oil Tank</v>
          </cell>
          <cell r="D240" t="str">
            <v>Tank Top</v>
          </cell>
          <cell r="E240">
            <v>0</v>
          </cell>
          <cell r="F240">
            <v>3.96</v>
          </cell>
        </row>
        <row r="241">
          <cell r="B241" t="str">
            <v>4-38-2-F</v>
          </cell>
          <cell r="C241" t="str">
            <v>Propulsion Diesel LO Storage Tank</v>
          </cell>
          <cell r="D241" t="str">
            <v>Tank Top</v>
          </cell>
          <cell r="E241">
            <v>0</v>
          </cell>
          <cell r="F241">
            <v>3.96</v>
          </cell>
        </row>
        <row r="242">
          <cell r="B242" t="str">
            <v>4-39-1-F</v>
          </cell>
          <cell r="C242" t="str">
            <v>Reduction Gear LO Storage Tank</v>
          </cell>
          <cell r="D242" t="str">
            <v>Tank Top</v>
          </cell>
          <cell r="E242">
            <v>0</v>
          </cell>
          <cell r="F242">
            <v>4.04</v>
          </cell>
        </row>
        <row r="243">
          <cell r="B243" t="str">
            <v>4-40-1-F</v>
          </cell>
          <cell r="C243" t="str">
            <v>Reduction Gear LO Storage Tank</v>
          </cell>
          <cell r="D243" t="str">
            <v>Tank Top</v>
          </cell>
          <cell r="E243">
            <v>0</v>
          </cell>
          <cell r="F243">
            <v>4.12</v>
          </cell>
        </row>
        <row r="244">
          <cell r="B244" t="str">
            <v>4-41-1-F</v>
          </cell>
          <cell r="C244" t="str">
            <v>Reduction Gear LO Storage Tank</v>
          </cell>
          <cell r="D244" t="str">
            <v>Tank Top</v>
          </cell>
          <cell r="E244">
            <v>0</v>
          </cell>
          <cell r="F244">
            <v>2.67</v>
          </cell>
        </row>
        <row r="245">
          <cell r="B245" t="str">
            <v>4-44-1-T</v>
          </cell>
          <cell r="C245" t="str">
            <v>Escape Trunk</v>
          </cell>
          <cell r="D245" t="str">
            <v>Tank Top</v>
          </cell>
          <cell r="E245">
            <v>1.18</v>
          </cell>
          <cell r="F245">
            <v>9.93</v>
          </cell>
          <cell r="G245" t="str">
            <v>Main Deck</v>
          </cell>
        </row>
        <row r="246">
          <cell r="B246" t="str">
            <v>4-45-1-T</v>
          </cell>
          <cell r="C246" t="str">
            <v>Escape Trunk</v>
          </cell>
          <cell r="D246" t="str">
            <v>Tank Top</v>
          </cell>
          <cell r="E246">
            <v>1.0900000000000001</v>
          </cell>
          <cell r="F246">
            <v>9.17</v>
          </cell>
          <cell r="G246" t="str">
            <v>Main Deck</v>
          </cell>
        </row>
        <row r="247">
          <cell r="B247" t="str">
            <v>5-45-01-E</v>
          </cell>
          <cell r="C247" t="str">
            <v>Auxiliary Machinery Room No. 2</v>
          </cell>
          <cell r="D247" t="str">
            <v>Tank Top</v>
          </cell>
          <cell r="E247">
            <v>70.39</v>
          </cell>
          <cell r="F247">
            <v>457.43</v>
          </cell>
        </row>
        <row r="248">
          <cell r="B248" t="str">
            <v>4-48-2-F</v>
          </cell>
          <cell r="C248" t="str">
            <v>SSDG Fuel Service Tank</v>
          </cell>
          <cell r="D248" t="str">
            <v>Tank Top</v>
          </cell>
          <cell r="E248">
            <v>0</v>
          </cell>
          <cell r="F248">
            <v>3.98</v>
          </cell>
        </row>
        <row r="249">
          <cell r="B249" t="str">
            <v>4-49-2-F</v>
          </cell>
          <cell r="C249" t="str">
            <v>SSDG Fuel Service Tank</v>
          </cell>
          <cell r="D249" t="str">
            <v>Tank Top</v>
          </cell>
          <cell r="E249">
            <v>0</v>
          </cell>
          <cell r="F249">
            <v>4.0599999999999996</v>
          </cell>
        </row>
        <row r="250">
          <cell r="B250" t="str">
            <v>4-60-0-J</v>
          </cell>
          <cell r="C250" t="str">
            <v>JP-5 Service Tank</v>
          </cell>
          <cell r="D250" t="str">
            <v>Tank Top</v>
          </cell>
          <cell r="E250">
            <v>0</v>
          </cell>
          <cell r="F250">
            <v>7.24</v>
          </cell>
        </row>
        <row r="251">
          <cell r="B251" t="str">
            <v>4-64-0-J</v>
          </cell>
          <cell r="C251" t="str">
            <v>JP-5 Service Tank</v>
          </cell>
          <cell r="D251" t="str">
            <v>Tank Top</v>
          </cell>
          <cell r="E251">
            <v>0</v>
          </cell>
          <cell r="F251">
            <v>8.6999999999999993</v>
          </cell>
        </row>
        <row r="252">
          <cell r="B252" t="str">
            <v>4-69-0-V</v>
          </cell>
          <cell r="C252" t="str">
            <v>Inaccessible Void</v>
          </cell>
          <cell r="D252" t="str">
            <v>Tank Top</v>
          </cell>
          <cell r="E252">
            <v>0</v>
          </cell>
          <cell r="F252">
            <v>24.151049999999998</v>
          </cell>
        </row>
        <row r="253">
          <cell r="B253" t="str">
            <v>4-75-1-V</v>
          </cell>
          <cell r="C253" t="str">
            <v>Buoyancy Tank</v>
          </cell>
          <cell r="D253" t="str">
            <v>Tank Top</v>
          </cell>
          <cell r="E253">
            <v>0</v>
          </cell>
          <cell r="F253">
            <v>91.414728400000001</v>
          </cell>
        </row>
        <row r="254">
          <cell r="B254" t="str">
            <v>4-75-2-V</v>
          </cell>
          <cell r="C254" t="str">
            <v>Buoyancy Tank</v>
          </cell>
          <cell r="D254" t="str">
            <v>Tank Top</v>
          </cell>
          <cell r="E254">
            <v>0</v>
          </cell>
          <cell r="F254">
            <v>91.414728400000001</v>
          </cell>
        </row>
        <row r="255">
          <cell r="B255" t="str">
            <v>5-4-0-W</v>
          </cell>
          <cell r="C255" t="str">
            <v>Ballast Tank</v>
          </cell>
          <cell r="D255" t="str">
            <v>Hold</v>
          </cell>
          <cell r="E255">
            <v>0</v>
          </cell>
          <cell r="F255">
            <v>58.629544000000003</v>
          </cell>
        </row>
        <row r="256">
          <cell r="B256" t="str">
            <v>5-4-1-V</v>
          </cell>
          <cell r="C256" t="str">
            <v>Inaccessible Void</v>
          </cell>
          <cell r="D256" t="str">
            <v>Hold</v>
          </cell>
          <cell r="E256">
            <v>0</v>
          </cell>
          <cell r="F256">
            <v>0.227551</v>
          </cell>
        </row>
        <row r="257">
          <cell r="B257" t="str">
            <v>5-4-2-V</v>
          </cell>
          <cell r="C257" t="str">
            <v>Inaccessible Void</v>
          </cell>
          <cell r="D257" t="str">
            <v>Hold</v>
          </cell>
          <cell r="E257">
            <v>0</v>
          </cell>
          <cell r="F257">
            <v>0.227551</v>
          </cell>
        </row>
        <row r="258">
          <cell r="B258" t="str">
            <v>5-5-1-V</v>
          </cell>
          <cell r="C258" t="str">
            <v>Inaccessible Void</v>
          </cell>
          <cell r="D258" t="str">
            <v>Hold</v>
          </cell>
          <cell r="E258">
            <v>0</v>
          </cell>
          <cell r="F258">
            <v>0.1555</v>
          </cell>
        </row>
        <row r="259">
          <cell r="B259" t="str">
            <v>5-5-2-V</v>
          </cell>
          <cell r="C259" t="str">
            <v>Inaccessible Void</v>
          </cell>
          <cell r="D259" t="str">
            <v>Hold</v>
          </cell>
          <cell r="E259">
            <v>0</v>
          </cell>
          <cell r="F259">
            <v>0.1555</v>
          </cell>
        </row>
        <row r="260">
          <cell r="B260" t="str">
            <v>5-6-1-V</v>
          </cell>
          <cell r="C260" t="str">
            <v>Inaccessible Void</v>
          </cell>
          <cell r="D260" t="str">
            <v>Hold</v>
          </cell>
          <cell r="E260">
            <v>0</v>
          </cell>
          <cell r="F260">
            <v>0.12217700000000001</v>
          </cell>
        </row>
        <row r="261">
          <cell r="B261" t="str">
            <v>5-6-2-V</v>
          </cell>
          <cell r="C261" t="str">
            <v>Inaccessible Void</v>
          </cell>
          <cell r="D261" t="str">
            <v>Hold</v>
          </cell>
          <cell r="E261">
            <v>0</v>
          </cell>
          <cell r="F261">
            <v>0.12217700000000001</v>
          </cell>
        </row>
        <row r="262">
          <cell r="B262" t="str">
            <v>5-7-0-V</v>
          </cell>
          <cell r="C262" t="str">
            <v>Void</v>
          </cell>
          <cell r="D262" t="str">
            <v>Hold</v>
          </cell>
          <cell r="E262">
            <v>0</v>
          </cell>
          <cell r="F262">
            <v>11.708742000000001</v>
          </cell>
        </row>
        <row r="263">
          <cell r="B263" t="str">
            <v>5-7-1-V</v>
          </cell>
          <cell r="C263" t="str">
            <v>Inaccessible Void</v>
          </cell>
          <cell r="D263" t="str">
            <v>Hold</v>
          </cell>
          <cell r="E263">
            <v>0</v>
          </cell>
          <cell r="F263">
            <v>0.21562899999999999</v>
          </cell>
        </row>
        <row r="264">
          <cell r="B264" t="str">
            <v>5-7-2-V</v>
          </cell>
          <cell r="C264" t="str">
            <v>Inaccessible Void</v>
          </cell>
          <cell r="D264" t="str">
            <v>Hold</v>
          </cell>
          <cell r="E264">
            <v>0</v>
          </cell>
          <cell r="F264">
            <v>0.21562899999999999</v>
          </cell>
        </row>
        <row r="265">
          <cell r="B265" t="str">
            <v>5-11-0-V</v>
          </cell>
          <cell r="C265" t="str">
            <v>Void</v>
          </cell>
          <cell r="D265" t="str">
            <v>Hold</v>
          </cell>
          <cell r="E265">
            <v>0</v>
          </cell>
          <cell r="F265">
            <v>1.98</v>
          </cell>
        </row>
        <row r="266">
          <cell r="B266" t="str">
            <v>5-12-0-F</v>
          </cell>
          <cell r="C266" t="str">
            <v>Fuel Oil Tank</v>
          </cell>
          <cell r="D266" t="str">
            <v>Hold</v>
          </cell>
          <cell r="E266">
            <v>0</v>
          </cell>
          <cell r="F266">
            <v>33.08</v>
          </cell>
        </row>
        <row r="267">
          <cell r="B267" t="str">
            <v>5-18-0-F</v>
          </cell>
          <cell r="C267" t="str">
            <v>Fuel Oil Tank</v>
          </cell>
          <cell r="D267" t="str">
            <v>Hold</v>
          </cell>
          <cell r="E267">
            <v>0</v>
          </cell>
          <cell r="F267">
            <v>36.5</v>
          </cell>
        </row>
        <row r="268">
          <cell r="B268" t="str">
            <v>5-20-2-W</v>
          </cell>
          <cell r="C268" t="str">
            <v>Oily Waste &amp; Waste Water Collection Tank</v>
          </cell>
          <cell r="D268" t="str">
            <v>Hold</v>
          </cell>
          <cell r="E268">
            <v>0</v>
          </cell>
          <cell r="F268">
            <v>1.1299999999999999</v>
          </cell>
        </row>
        <row r="269">
          <cell r="B269" t="str">
            <v>5-26-0-F</v>
          </cell>
          <cell r="C269" t="str">
            <v>Fuel Oil Tank</v>
          </cell>
          <cell r="D269" t="str">
            <v>Hold</v>
          </cell>
          <cell r="E269">
            <v>0</v>
          </cell>
          <cell r="F269">
            <v>61.68</v>
          </cell>
        </row>
        <row r="270">
          <cell r="B270" t="str">
            <v>5-26-2-F</v>
          </cell>
          <cell r="C270" t="str">
            <v>GT Drain Tank</v>
          </cell>
          <cell r="D270" t="str">
            <v>Hold</v>
          </cell>
          <cell r="E270">
            <v>0</v>
          </cell>
          <cell r="F270">
            <v>1.95</v>
          </cell>
        </row>
        <row r="271">
          <cell r="B271" t="str">
            <v>5-31-1-F</v>
          </cell>
          <cell r="C271" t="str">
            <v>Gas Turbine Service Fuel Oil Tank</v>
          </cell>
          <cell r="D271" t="str">
            <v>Hold</v>
          </cell>
          <cell r="E271">
            <v>0</v>
          </cell>
          <cell r="F271">
            <v>19.989999999999998</v>
          </cell>
        </row>
        <row r="272">
          <cell r="B272" t="str">
            <v>5-31-2-F</v>
          </cell>
          <cell r="C272" t="str">
            <v>Gas Turbine Service Fuel Oil Tank</v>
          </cell>
          <cell r="D272" t="str">
            <v>Hold</v>
          </cell>
          <cell r="E272">
            <v>0</v>
          </cell>
          <cell r="F272">
            <v>19.739999999999998</v>
          </cell>
        </row>
        <row r="273">
          <cell r="B273" t="str">
            <v>5-33-2-W</v>
          </cell>
          <cell r="C273" t="str">
            <v>Oily Waste Collection Tank</v>
          </cell>
          <cell r="D273" t="str">
            <v>Hold</v>
          </cell>
          <cell r="E273">
            <v>0</v>
          </cell>
          <cell r="F273">
            <v>1.62</v>
          </cell>
        </row>
        <row r="274">
          <cell r="B274" t="str">
            <v>5-34-1-F</v>
          </cell>
          <cell r="C274" t="str">
            <v>Lube Oil Sump Tank</v>
          </cell>
          <cell r="D274" t="str">
            <v>Hold</v>
          </cell>
          <cell r="E274">
            <v>0</v>
          </cell>
          <cell r="F274">
            <v>14.08</v>
          </cell>
          <cell r="G274" t="str">
            <v>LCS 5 - 13 Only</v>
          </cell>
        </row>
        <row r="275">
          <cell r="B275" t="str">
            <v>5-34-2-F</v>
          </cell>
          <cell r="C275" t="str">
            <v>Lube Oil Sump Tank</v>
          </cell>
          <cell r="D275" t="str">
            <v>Hold</v>
          </cell>
          <cell r="E275">
            <v>0</v>
          </cell>
          <cell r="F275">
            <v>14.08</v>
          </cell>
          <cell r="G275" t="str">
            <v>LCS 5 - 13 Only</v>
          </cell>
        </row>
        <row r="276">
          <cell r="B276" t="str">
            <v>5-37-0-F</v>
          </cell>
          <cell r="C276" t="str">
            <v>Fuel Oil Tank</v>
          </cell>
          <cell r="D276" t="str">
            <v>Hold</v>
          </cell>
          <cell r="E276">
            <v>0</v>
          </cell>
          <cell r="F276">
            <v>38.11</v>
          </cell>
          <cell r="G276" t="str">
            <v>LCS 5 - 13 Only</v>
          </cell>
        </row>
        <row r="277">
          <cell r="B277" t="str">
            <v>5-37-2-W</v>
          </cell>
          <cell r="C277" t="str">
            <v>Oily Waste &amp; Waste Water Collection Tank</v>
          </cell>
          <cell r="D277" t="str">
            <v>Hold</v>
          </cell>
          <cell r="E277">
            <v>0</v>
          </cell>
          <cell r="F277">
            <v>2.39</v>
          </cell>
        </row>
        <row r="278">
          <cell r="B278" t="str">
            <v>5-41-1-F</v>
          </cell>
          <cell r="C278" t="str">
            <v>Fuel Oil Service Tank</v>
          </cell>
          <cell r="D278" t="str">
            <v>Hold</v>
          </cell>
          <cell r="E278">
            <v>0</v>
          </cell>
          <cell r="F278">
            <v>19.87</v>
          </cell>
          <cell r="G278" t="str">
            <v>LCS 5 - 13 Only</v>
          </cell>
        </row>
        <row r="279">
          <cell r="B279" t="str">
            <v>5-41-2-F</v>
          </cell>
          <cell r="C279" t="str">
            <v>Fuel Oil Service Tank</v>
          </cell>
          <cell r="D279" t="str">
            <v>Hold</v>
          </cell>
          <cell r="E279">
            <v>0</v>
          </cell>
          <cell r="F279">
            <v>19.87</v>
          </cell>
          <cell r="G279" t="str">
            <v>LCS 5 - 13 Only</v>
          </cell>
        </row>
        <row r="280">
          <cell r="B280" t="str">
            <v>5-45-0-F</v>
          </cell>
          <cell r="C280" t="str">
            <v>Fuel Oil Tank</v>
          </cell>
          <cell r="D280" t="str">
            <v>Hold</v>
          </cell>
          <cell r="E280">
            <v>0</v>
          </cell>
          <cell r="F280">
            <v>33.99</v>
          </cell>
        </row>
        <row r="281">
          <cell r="B281" t="str">
            <v>5-49-0-F</v>
          </cell>
          <cell r="C281" t="str">
            <v>Fuel Oil Tank Overflow</v>
          </cell>
          <cell r="D281" t="str">
            <v>Hold</v>
          </cell>
          <cell r="E281">
            <v>0</v>
          </cell>
          <cell r="F281">
            <v>27.79</v>
          </cell>
        </row>
        <row r="282">
          <cell r="B282" t="str">
            <v>5-49-2-W</v>
          </cell>
          <cell r="C282" t="str">
            <v>Oily Waste Water Collection Tank</v>
          </cell>
          <cell r="D282" t="str">
            <v>Hold</v>
          </cell>
          <cell r="E282">
            <v>0</v>
          </cell>
          <cell r="F282">
            <v>1.54</v>
          </cell>
        </row>
        <row r="283">
          <cell r="B283" t="str">
            <v>5-52-1-F</v>
          </cell>
          <cell r="C283" t="str">
            <v>Lube Oil Sump Tank</v>
          </cell>
          <cell r="D283" t="str">
            <v>Hold</v>
          </cell>
          <cell r="E283">
            <v>0</v>
          </cell>
          <cell r="F283">
            <v>5.47</v>
          </cell>
        </row>
        <row r="284">
          <cell r="B284" t="str">
            <v>5-52-2-F</v>
          </cell>
          <cell r="C284" t="str">
            <v>Lube Oil Sump Tank</v>
          </cell>
          <cell r="D284" t="str">
            <v>Hold</v>
          </cell>
          <cell r="E284">
            <v>0</v>
          </cell>
          <cell r="F284">
            <v>5.47</v>
          </cell>
        </row>
        <row r="285">
          <cell r="B285" t="str">
            <v>5-54-01-E</v>
          </cell>
          <cell r="C285" t="str">
            <v>Shaft Alley</v>
          </cell>
          <cell r="D285" t="str">
            <v>Hold</v>
          </cell>
          <cell r="E285">
            <v>147.28</v>
          </cell>
          <cell r="F285">
            <v>441.52</v>
          </cell>
          <cell r="G285" t="str">
            <v>Tank Top</v>
          </cell>
        </row>
        <row r="286">
          <cell r="B286" t="str">
            <v>5-54-1-F</v>
          </cell>
          <cell r="C286" t="str">
            <v>Fuel Oil Tank</v>
          </cell>
          <cell r="D286" t="str">
            <v>Hold</v>
          </cell>
          <cell r="E286">
            <v>0</v>
          </cell>
          <cell r="F286">
            <v>74.47</v>
          </cell>
        </row>
        <row r="287">
          <cell r="B287" t="str">
            <v>5-54-2-F</v>
          </cell>
          <cell r="C287" t="str">
            <v>Fuel Oil Tank</v>
          </cell>
          <cell r="D287" t="str">
            <v>Hold</v>
          </cell>
          <cell r="E287">
            <v>0</v>
          </cell>
          <cell r="F287">
            <v>77.400000000000006</v>
          </cell>
        </row>
        <row r="288">
          <cell r="B288" t="str">
            <v>5-54-3-W</v>
          </cell>
          <cell r="C288" t="str">
            <v>Oily Waste Water Collection Tank</v>
          </cell>
          <cell r="D288" t="str">
            <v>Hold</v>
          </cell>
          <cell r="E288">
            <v>0</v>
          </cell>
          <cell r="F288">
            <v>0.93</v>
          </cell>
        </row>
        <row r="289">
          <cell r="B289" t="str">
            <v>5-59-1-Q</v>
          </cell>
          <cell r="C289" t="str">
            <v>Speed Log Eqpt Tank</v>
          </cell>
          <cell r="D289" t="str">
            <v>Hold</v>
          </cell>
          <cell r="E289">
            <v>0</v>
          </cell>
          <cell r="F289">
            <v>1.82</v>
          </cell>
        </row>
        <row r="290">
          <cell r="B290" t="str">
            <v>5-60-1-J</v>
          </cell>
          <cell r="C290" t="str">
            <v>JP-5 Stowage Tank</v>
          </cell>
          <cell r="D290" t="str">
            <v>Hold</v>
          </cell>
          <cell r="E290">
            <v>0</v>
          </cell>
          <cell r="F290">
            <v>37.69</v>
          </cell>
        </row>
        <row r="291">
          <cell r="B291" t="str">
            <v>5-60-2-J</v>
          </cell>
          <cell r="C291" t="str">
            <v>JP-5 Stowage Tank</v>
          </cell>
          <cell r="D291" t="str">
            <v>Hold</v>
          </cell>
          <cell r="E291">
            <v>0</v>
          </cell>
          <cell r="F291">
            <v>37.69</v>
          </cell>
        </row>
        <row r="292">
          <cell r="B292" t="str">
            <v>5-65-0-E</v>
          </cell>
          <cell r="C292" t="str">
            <v>Water Jet Machinery Room</v>
          </cell>
          <cell r="D292" t="str">
            <v>Hold</v>
          </cell>
          <cell r="E292">
            <v>21.19</v>
          </cell>
          <cell r="F292">
            <v>383.35</v>
          </cell>
          <cell r="G292" t="str">
            <v>2.350 m ABL Grating; Tank Top</v>
          </cell>
        </row>
        <row r="293">
          <cell r="B293" t="str">
            <v>5-65-1-F</v>
          </cell>
          <cell r="C293" t="str">
            <v>Oily Waste Tank</v>
          </cell>
          <cell r="D293" t="str">
            <v>Hold</v>
          </cell>
          <cell r="E293">
            <v>0</v>
          </cell>
          <cell r="F293">
            <v>1.1101000000000001</v>
          </cell>
        </row>
        <row r="294">
          <cell r="B294" t="str">
            <v>5-65-2-F</v>
          </cell>
          <cell r="C294" t="str">
            <v>Oily Waste Tank</v>
          </cell>
          <cell r="D294" t="str">
            <v>Hold</v>
          </cell>
          <cell r="E294">
            <v>0</v>
          </cell>
          <cell r="F294">
            <v>1.1101000000000001</v>
          </cell>
        </row>
        <row r="295">
          <cell r="B295" t="str">
            <v>5-66-1-F</v>
          </cell>
          <cell r="C295" t="str">
            <v>Lube Oil Tank</v>
          </cell>
          <cell r="D295" t="str">
            <v>Hold</v>
          </cell>
          <cell r="E295">
            <v>0</v>
          </cell>
          <cell r="F295">
            <v>1.665</v>
          </cell>
        </row>
        <row r="296">
          <cell r="B296" t="str">
            <v>5-66-2-F</v>
          </cell>
          <cell r="C296" t="str">
            <v>Lube Oil Tank</v>
          </cell>
          <cell r="D296" t="str">
            <v>Hold</v>
          </cell>
          <cell r="E296">
            <v>0</v>
          </cell>
          <cell r="F296">
            <v>1.665</v>
          </cell>
        </row>
        <row r="297">
          <cell r="B297" t="str">
            <v>5-69-0-V</v>
          </cell>
          <cell r="C297" t="str">
            <v>Inaccessible Void</v>
          </cell>
          <cell r="D297" t="str">
            <v>Hold</v>
          </cell>
          <cell r="E297">
            <v>0</v>
          </cell>
          <cell r="F297">
            <v>8.6531338099999999</v>
          </cell>
        </row>
        <row r="300">
          <cell r="B300" t="str">
            <v>5-34-0-E</v>
          </cell>
          <cell r="C300" t="str">
            <v>Main Machinery Room</v>
          </cell>
          <cell r="D300" t="str">
            <v>Tank Top</v>
          </cell>
          <cell r="E300">
            <v>189.79</v>
          </cell>
          <cell r="F300">
            <v>1165.7699999999995</v>
          </cell>
          <cell r="G300" t="str">
            <v>2nd Plat; LCS 15AF</v>
          </cell>
        </row>
        <row r="301">
          <cell r="B301" t="str">
            <v>5-35-1-F</v>
          </cell>
          <cell r="C301" t="str">
            <v>Lube Oil Sump Tank</v>
          </cell>
          <cell r="D301" t="str">
            <v>Hold</v>
          </cell>
          <cell r="E301">
            <v>0</v>
          </cell>
          <cell r="F301">
            <v>9.66</v>
          </cell>
          <cell r="G301" t="str">
            <v>LCS 15AF</v>
          </cell>
        </row>
        <row r="302">
          <cell r="B302" t="str">
            <v>5-35-2-F</v>
          </cell>
          <cell r="C302" t="str">
            <v>Lube Oil Sump Tank</v>
          </cell>
          <cell r="D302" t="str">
            <v>Hold</v>
          </cell>
          <cell r="E302">
            <v>0</v>
          </cell>
          <cell r="F302">
            <v>9.66</v>
          </cell>
          <cell r="G302" t="str">
            <v>LCS 15AF</v>
          </cell>
        </row>
        <row r="303">
          <cell r="B303" t="str">
            <v>5-37-1-F</v>
          </cell>
          <cell r="C303" t="str">
            <v>Fuel Oil Service Tank</v>
          </cell>
          <cell r="D303" t="str">
            <v>Hold</v>
          </cell>
          <cell r="E303">
            <v>0</v>
          </cell>
          <cell r="F303">
            <v>19.100000000000001</v>
          </cell>
          <cell r="G303" t="str">
            <v>LCS 15AF</v>
          </cell>
        </row>
        <row r="304">
          <cell r="B304" t="str">
            <v>5-37-2-F</v>
          </cell>
          <cell r="C304" t="str">
            <v>Fuel Oil Service Tank</v>
          </cell>
          <cell r="D304" t="str">
            <v>Hold</v>
          </cell>
          <cell r="E304">
            <v>0</v>
          </cell>
          <cell r="F304">
            <v>19.100000000000001</v>
          </cell>
          <cell r="G304" t="str">
            <v>LCS 15AF</v>
          </cell>
        </row>
        <row r="305">
          <cell r="B305" t="str">
            <v>5-41-0-F</v>
          </cell>
          <cell r="C305" t="str">
            <v>Fuel Oil Tank</v>
          </cell>
          <cell r="D305" t="str">
            <v>Hold</v>
          </cell>
          <cell r="E305">
            <v>0</v>
          </cell>
          <cell r="F305">
            <v>38.42</v>
          </cell>
          <cell r="G305" t="str">
            <v>LCS 15AF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K762"/>
  <sheetViews>
    <sheetView topLeftCell="C485" zoomScale="80" zoomScaleNormal="80" workbookViewId="0">
      <selection activeCell="F488" sqref="F488:O488"/>
    </sheetView>
  </sheetViews>
  <sheetFormatPr defaultRowHeight="14.5"/>
  <cols>
    <col min="1" max="1" width="18.1796875" style="4" bestFit="1" customWidth="1"/>
    <col min="2" max="2" width="38.7265625" style="4" bestFit="1" customWidth="1"/>
    <col min="3" max="3" width="13.26953125" style="4" bestFit="1" customWidth="1"/>
    <col min="4" max="15" width="13.26953125" style="4" customWidth="1"/>
    <col min="16" max="17" width="13.26953125" style="4" bestFit="1" customWidth="1"/>
    <col min="19" max="21" width="8.7265625" style="157"/>
    <col min="22" max="31" width="8.7265625" style="157" customWidth="1"/>
    <col min="32" max="35" width="8.7265625" style="157"/>
    <col min="37" max="37" width="14.26953125" style="4" bestFit="1" customWidth="1"/>
  </cols>
  <sheetData>
    <row r="1" spans="1:37">
      <c r="C1" s="161" t="s">
        <v>1472</v>
      </c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404" t="s">
        <v>1477</v>
      </c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161"/>
      <c r="AG1" s="161"/>
    </row>
    <row r="2" spans="1:37">
      <c r="C2" s="5" t="s">
        <v>1473</v>
      </c>
      <c r="D2" s="5" t="s">
        <v>2493</v>
      </c>
      <c r="E2" s="159" t="s">
        <v>2494</v>
      </c>
      <c r="F2" s="159" t="s">
        <v>2859</v>
      </c>
      <c r="G2" s="374" t="str">
        <f>W2</f>
        <v>MLB47</v>
      </c>
      <c r="H2" s="374" t="str">
        <f t="shared" ref="H2:N2" si="0">X2</f>
        <v>CPB87</v>
      </c>
      <c r="I2" s="374" t="str">
        <f t="shared" si="0"/>
        <v>WPB110</v>
      </c>
      <c r="J2" s="374" t="str">
        <f t="shared" si="0"/>
        <v>WPB120</v>
      </c>
      <c r="K2" s="374" t="str">
        <f t="shared" si="0"/>
        <v>PGG</v>
      </c>
      <c r="L2" s="374" t="str">
        <f t="shared" si="0"/>
        <v>PCG</v>
      </c>
      <c r="M2" s="374" t="str">
        <f t="shared" si="0"/>
        <v>WMEC210</v>
      </c>
      <c r="N2" s="374" t="str">
        <f t="shared" si="0"/>
        <v>WMEC270</v>
      </c>
      <c r="O2" s="374" t="s">
        <v>2956</v>
      </c>
      <c r="P2" s="159" t="s">
        <v>1474</v>
      </c>
      <c r="Q2" s="159" t="s">
        <v>1475</v>
      </c>
      <c r="S2" s="157" t="s">
        <v>1476</v>
      </c>
      <c r="T2" s="157" t="s">
        <v>2493</v>
      </c>
      <c r="U2" s="157" t="s">
        <v>2494</v>
      </c>
      <c r="V2" s="157" t="s">
        <v>2860</v>
      </c>
      <c r="W2" s="157" t="s">
        <v>2952</v>
      </c>
      <c r="X2" s="157" t="s">
        <v>2953</v>
      </c>
      <c r="Y2" s="157" t="s">
        <v>2954</v>
      </c>
      <c r="Z2" s="157" t="s">
        <v>2955</v>
      </c>
      <c r="AA2" s="157" t="s">
        <v>2867</v>
      </c>
      <c r="AB2" s="157" t="s">
        <v>2868</v>
      </c>
      <c r="AC2" s="157" t="s">
        <v>2951</v>
      </c>
      <c r="AD2" s="157" t="s">
        <v>2950</v>
      </c>
      <c r="AE2" s="157" t="s">
        <v>2956</v>
      </c>
      <c r="AF2" s="157" t="s">
        <v>1478</v>
      </c>
      <c r="AG2" s="157" t="s">
        <v>1478</v>
      </c>
      <c r="AI2" s="157" t="s">
        <v>1476</v>
      </c>
    </row>
    <row r="3" spans="1:37">
      <c r="A3" s="4" t="s">
        <v>1470</v>
      </c>
      <c r="C3" s="157">
        <f>471/3.2808</f>
        <v>143.56254572055596</v>
      </c>
      <c r="D3" s="157">
        <f>466/3.2808</f>
        <v>142.0385271884906</v>
      </c>
      <c r="E3" s="157">
        <f>364.5/3.2808</f>
        <v>111.100950987564</v>
      </c>
      <c r="F3" s="157">
        <v>102.47</v>
      </c>
      <c r="G3" s="157">
        <f>'USCG Summary'!D4/3.2808</f>
        <v>13.0760790051207</v>
      </c>
      <c r="H3" s="157">
        <f>'USCG Summary'!G4/3.2808</f>
        <v>24.871982443306507</v>
      </c>
      <c r="I3" s="157">
        <f>'USCG Summary'!J4/3.2808</f>
        <v>31.711777615215802</v>
      </c>
      <c r="J3" s="157">
        <f>'USCG Summary'!M4/3.2808</f>
        <v>33.528407705437694</v>
      </c>
      <c r="K3" s="157">
        <f>'USCG Summary'!P4/3.2808</f>
        <v>56.083881980004875</v>
      </c>
      <c r="L3" s="157">
        <f>'USCG Summary'!Q4/3.2808</f>
        <v>71.324067300658371</v>
      </c>
      <c r="M3" s="157">
        <f>'USCG Summary'!R4/3.2808</f>
        <v>60.960741282613995</v>
      </c>
      <c r="N3" s="157">
        <f>'USCG Summary'!U4/3.2808</f>
        <v>77.724945135332845</v>
      </c>
      <c r="O3" s="157">
        <f>'USCG Summary'!X4/3.2808</f>
        <v>106.68129724457449</v>
      </c>
      <c r="P3" s="157">
        <f>Comp!C4</f>
        <v>171.66</v>
      </c>
      <c r="Q3" s="157">
        <f>Comp!D4</f>
        <v>171.66</v>
      </c>
      <c r="AF3" s="157" t="s">
        <v>1477</v>
      </c>
      <c r="AG3" s="157" t="s">
        <v>1477</v>
      </c>
      <c r="AI3" s="157" t="s">
        <v>1477</v>
      </c>
    </row>
    <row r="4" spans="1:37">
      <c r="A4" s="4" t="s">
        <v>351</v>
      </c>
      <c r="C4" s="157">
        <f>59.6/3.2808</f>
        <v>18.166300902218971</v>
      </c>
      <c r="D4" s="157">
        <f>59.6/3.2808</f>
        <v>18.166300902218971</v>
      </c>
      <c r="E4" s="157">
        <f>53.8/3.2808</f>
        <v>16.398439405023165</v>
      </c>
      <c r="F4" s="157">
        <v>17.59</v>
      </c>
      <c r="G4" s="157">
        <f>'USCG Summary'!D5/3.2808</f>
        <v>4.4684223360156059</v>
      </c>
      <c r="H4" s="157">
        <f>'USCG Summary'!G5/3.2808</f>
        <v>5.9436722750548645</v>
      </c>
      <c r="I4" s="157">
        <f>'USCG Summary'!J5/3.2808</f>
        <v>6.4252621311875142</v>
      </c>
      <c r="J4" s="157">
        <f>'USCG Summary'!M5/3.2808</f>
        <v>6.8885637649353821</v>
      </c>
      <c r="K4" s="157">
        <f>'USCG Summary'!P5/3.2808</f>
        <v>7.6200926603267494</v>
      </c>
      <c r="L4" s="157">
        <f>'USCG Summary'!Q5/3.2808</f>
        <v>8.5345037795659593</v>
      </c>
      <c r="M4" s="157">
        <f>'USCG Summary'!R5/3.2808</f>
        <v>10.363326018044379</v>
      </c>
      <c r="N4" s="157">
        <f>'USCG Summary'!U5/3.2808</f>
        <v>11.582540843696659</v>
      </c>
      <c r="O4" s="157">
        <f>'USCG Summary'!X5/3.2808</f>
        <v>12.801755669348939</v>
      </c>
      <c r="P4" s="157">
        <f>Comp!C5</f>
        <v>21.3</v>
      </c>
      <c r="Q4" s="157">
        <f>Comp!D5</f>
        <v>21.3</v>
      </c>
      <c r="AF4" s="157" t="s">
        <v>1479</v>
      </c>
      <c r="AG4" s="157" t="s">
        <v>1480</v>
      </c>
      <c r="AI4" s="157" t="s">
        <v>1469</v>
      </c>
    </row>
    <row r="5" spans="1:37">
      <c r="A5" s="4" t="s">
        <v>29</v>
      </c>
      <c r="C5" s="157">
        <f>41.8/3.2808</f>
        <v>12.740794928066324</v>
      </c>
      <c r="D5" s="157">
        <f>41.8/3.2808</f>
        <v>12.740794928066324</v>
      </c>
      <c r="E5" s="157">
        <f>32.4/3.2808</f>
        <v>9.8756400877834665</v>
      </c>
      <c r="F5" s="157">
        <v>10.1</v>
      </c>
      <c r="G5" s="157">
        <f>'USCG Summary'!D6/3.2808</f>
        <v>2.234211168007803</v>
      </c>
      <c r="H5" s="157">
        <f>'USCG Summary'!G6/3.2808</f>
        <v>3.3528407705437697</v>
      </c>
      <c r="I5" s="157">
        <f>'USCG Summary'!J6/3.2808</f>
        <v>3.3345525481589853</v>
      </c>
      <c r="J5" s="157">
        <f>'USCG Summary'!M6/3.2808</f>
        <v>3.6576444769568397</v>
      </c>
      <c r="K5" s="403">
        <f>L5</f>
        <v>5.9954889051450868</v>
      </c>
      <c r="L5" s="157">
        <f>'USCG Summary'!Q6/3.2808</f>
        <v>5.9954889051450868</v>
      </c>
      <c r="M5" s="157">
        <f>'USCG Summary'!R6/3.2808</f>
        <v>5.9436722750548645</v>
      </c>
      <c r="N5" s="157">
        <f>'USCG Summary'!U6/3.2808</f>
        <v>7.3152889539136794</v>
      </c>
      <c r="O5" s="157">
        <f>'USCG Summary'!X6/3.2808</f>
        <v>8.3821019263594234</v>
      </c>
      <c r="P5" s="157">
        <f>Comp!C6</f>
        <v>15.06</v>
      </c>
      <c r="Q5" s="157">
        <f>Comp!D6</f>
        <v>15.06</v>
      </c>
    </row>
    <row r="6" spans="1:37">
      <c r="A6" s="4" t="s">
        <v>1471</v>
      </c>
      <c r="C6" s="157">
        <f>C3*C4*C5/100</f>
        <v>332.27998317743914</v>
      </c>
      <c r="D6" s="157">
        <f>D3*D4*D5/100</f>
        <v>328.75259482099079</v>
      </c>
      <c r="E6" s="157">
        <f>E3*E4*E5/100</f>
        <v>179.92253014071125</v>
      </c>
      <c r="F6" s="157">
        <f>F3*F4*F5/100</f>
        <v>182.04717730000002</v>
      </c>
      <c r="G6" s="157">
        <f t="shared" ref="G6:O6" si="1">G3*G4*G5/100</f>
        <v>1.3054371519474453</v>
      </c>
      <c r="H6" s="157">
        <f t="shared" si="1"/>
        <v>4.9565351048928754</v>
      </c>
      <c r="I6" s="157">
        <f t="shared" si="1"/>
        <v>6.7943670233818718</v>
      </c>
      <c r="J6" s="157">
        <f t="shared" si="1"/>
        <v>8.4477898469516592</v>
      </c>
      <c r="K6" s="157">
        <f t="shared" si="1"/>
        <v>25.622583833865651</v>
      </c>
      <c r="L6" s="157">
        <f t="shared" si="1"/>
        <v>36.495471582497331</v>
      </c>
      <c r="M6" s="157">
        <f t="shared" si="1"/>
        <v>37.549508370400574</v>
      </c>
      <c r="N6" s="157">
        <f t="shared" si="1"/>
        <v>65.856060834241006</v>
      </c>
      <c r="O6" s="157">
        <f t="shared" si="1"/>
        <v>114.47502834641351</v>
      </c>
      <c r="P6" s="157">
        <f>P3*P4*P5/100</f>
        <v>550.64751480000007</v>
      </c>
      <c r="Q6" s="157">
        <f>Q3*Q4*Q5/100</f>
        <v>550.64751480000007</v>
      </c>
    </row>
    <row r="7" spans="1:37">
      <c r="A7" s="4" t="s">
        <v>2861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8" spans="1:37">
      <c r="A8" s="4" t="s">
        <v>2862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37">
      <c r="A9" s="4" t="s">
        <v>363</v>
      </c>
      <c r="C9" s="405">
        <v>329</v>
      </c>
      <c r="D9" s="405">
        <v>359</v>
      </c>
      <c r="E9" s="405">
        <v>120</v>
      </c>
      <c r="F9" s="405">
        <v>76</v>
      </c>
      <c r="G9" s="405">
        <v>9</v>
      </c>
      <c r="H9" s="405">
        <v>11</v>
      </c>
      <c r="I9" s="405">
        <v>16</v>
      </c>
      <c r="J9" s="405">
        <v>18</v>
      </c>
      <c r="K9" s="157"/>
      <c r="L9" s="157"/>
      <c r="M9" s="405">
        <v>86</v>
      </c>
      <c r="N9" s="405">
        <v>109</v>
      </c>
      <c r="O9" s="405">
        <v>186</v>
      </c>
      <c r="P9" s="405">
        <v>390</v>
      </c>
      <c r="Q9" s="405">
        <v>390</v>
      </c>
    </row>
    <row r="10" spans="1:37">
      <c r="AK10" s="4" t="s">
        <v>1469</v>
      </c>
    </row>
    <row r="11" spans="1:37" s="136" customFormat="1">
      <c r="A11" s="135">
        <v>1</v>
      </c>
      <c r="B11" s="135" t="str">
        <f>Comp!B75</f>
        <v>MISSION SUPPORT</v>
      </c>
      <c r="C11" s="158">
        <f>C12+C58+C86+C134+C139+C140+C146+C147</f>
        <v>1477.380071744891</v>
      </c>
      <c r="D11" s="158">
        <f>D12+D58+D86+D134+D139+D140+D146+D147</f>
        <v>1276.1471931510389</v>
      </c>
      <c r="E11" s="158">
        <f>E12+E58+E86+E134+E139+E140+E146+E147</f>
        <v>299.43378010525618</v>
      </c>
      <c r="F11" s="158">
        <f>F12+F58+F86+F134+F139+F140+F146+F147</f>
        <v>134.84</v>
      </c>
      <c r="G11" s="158">
        <f>G12+G59+G86+G134+G140+G141+G146+G147</f>
        <v>0</v>
      </c>
      <c r="H11" s="158">
        <f>H12+H59+H86+H134+H140+H141+H146+H147</f>
        <v>9.3834352437576403</v>
      </c>
      <c r="I11" s="158">
        <f>I12+I59+I86+I134+I140+I141+I146+I147</f>
        <v>15.422279707562062</v>
      </c>
      <c r="J11" s="158">
        <f>J12+J59+J86+J134+J140+J141+J146+J147</f>
        <v>20.021092029997735</v>
      </c>
      <c r="K11" s="158"/>
      <c r="L11" s="158">
        <f>L12+L59+L86+L134+L140+L141+L146+L147</f>
        <v>41.993195348301519</v>
      </c>
      <c r="M11" s="158">
        <f>M12+M59+M86+M134+M140+M141+M146+M147</f>
        <v>121.98465816884932</v>
      </c>
      <c r="N11" s="158">
        <f>N12+N59+N86+N134+N140+N141+N146+N147</f>
        <v>478.18357623386703</v>
      </c>
      <c r="O11" s="158">
        <f>O12+O59+O86+O134+O140+O141+O146+O147</f>
        <v>514.23083241780728</v>
      </c>
      <c r="P11" s="158">
        <f t="shared" ref="P11:Q14" si="2">AF11</f>
        <v>1414.7</v>
      </c>
      <c r="Q11" s="158">
        <f t="shared" si="2"/>
        <v>1417.2</v>
      </c>
      <c r="S11" s="151">
        <f>SUMIF('Flt III'!D:D,A11,'Flt III'!E:E)/3.2808^2</f>
        <v>0</v>
      </c>
      <c r="T11" s="151">
        <f>SUMIF('Flt IIa'!A:A,A11,'Flt IIa'!E:E)/3.2808^2</f>
        <v>0</v>
      </c>
      <c r="U11" s="151">
        <f>SUMIF('OPC Des'!A:A,A11,'OPC Des'!F:F)/3.2808^2</f>
        <v>202.44064748661285</v>
      </c>
      <c r="V11" s="151">
        <f>SUMIF('LCS 5'!A:A,A11,'LCS 5'!E:E)</f>
        <v>0</v>
      </c>
      <c r="W11" s="151">
        <f>SUMIF('USCG Summary'!$A$25:$A$50,A11,'USCG Summary'!$F$25:$F$50)/3.2808^2</f>
        <v>0</v>
      </c>
      <c r="X11" s="151">
        <f>SUMIF('USCG Summary'!$A$25:$A$50,A11,'USCG Summary'!$I$25:$I$50)/3.2808^2</f>
        <v>0</v>
      </c>
      <c r="Y11" s="151">
        <f>SUMIF('USCG Summary'!$A$25:$A$50,A11,'USCG Summary'!$L$25:$L$50)/3.2808^2</f>
        <v>0</v>
      </c>
      <c r="Z11" s="151">
        <f>SUMIF('USCG Summary'!$A$25:$A$50,A11,'USCG Summary'!$O$25:$O$50)/3.2808^2</f>
        <v>0</v>
      </c>
      <c r="AA11" s="151">
        <f>SUMIF('USCG Summary'!$A$25:$A$50,A11,'USCG Summary'!$P$25:$P$50)/3.2808^2</f>
        <v>0</v>
      </c>
      <c r="AB11" s="151">
        <f>SUMIF('USCG Summary'!$A$25:$A$50,A11,'USCG Summary'!$Q$25:$Q$50)/3.2808^2</f>
        <v>0</v>
      </c>
      <c r="AC11" s="151">
        <f>SUMIF('USCG Summary'!$A$25:$A$50,A11,'USCG Summary'!$T$25:$T$50)/3.2808^2</f>
        <v>0</v>
      </c>
      <c r="AD11" s="151">
        <f>SUMIF('USCG Summary'!$A$25:$A$50,A11,'USCG Summary'!$W$25:$W$50)/3.2808^2</f>
        <v>0</v>
      </c>
      <c r="AE11" s="151">
        <f>SUMIF('USCG Summary'!$A$25:$A$50,A11,'USCG Summary'!$Z$25:$Z$50)/3.2808^2</f>
        <v>0</v>
      </c>
      <c r="AF11" s="151">
        <f>SUMIF(Comp!$A$75:$A$400,Areas!A11,Comp!$F$75:$F$400)</f>
        <v>1414.7</v>
      </c>
      <c r="AG11" s="151">
        <f>SUMIF(Comp!$A$75:$A$400,Areas!A11,Comp!$G$75:$G$400)</f>
        <v>1417.2</v>
      </c>
      <c r="AH11" s="151"/>
      <c r="AI11" s="151">
        <f>SUMIF('Flt III'!D:D,A11,'Flt III'!F:F)/3.2808^3</f>
        <v>0</v>
      </c>
      <c r="AK11" s="158">
        <f>AK12+AK58+AK86+AK134+AK139+AK140+AK146+AK147</f>
        <v>5094.7829931766582</v>
      </c>
    </row>
    <row r="12" spans="1:37" s="139" customFormat="1">
      <c r="A12" s="137">
        <v>1.1000000000000001</v>
      </c>
      <c r="B12" s="137" t="str">
        <f>Comp!B76</f>
        <v>COMMAND,COMMUNICATION+SURV</v>
      </c>
      <c r="C12" s="150">
        <f>C13+C22+C37+C47+C56+C58</f>
        <v>1000.6829803021143</v>
      </c>
      <c r="D12" s="150">
        <f>D13+D22+D37+D47+D56+D58</f>
        <v>893.74898064305444</v>
      </c>
      <c r="E12" s="150">
        <f>E13+E22+E37+E47+E56+E58</f>
        <v>0</v>
      </c>
      <c r="F12" s="150">
        <f>F13+F22+F37+F47+F56+F58</f>
        <v>53.47</v>
      </c>
      <c r="G12" s="150">
        <f>W12</f>
        <v>0</v>
      </c>
      <c r="H12" s="150">
        <f>X12</f>
        <v>9.0118140459850604</v>
      </c>
      <c r="I12" s="150">
        <f>Y12</f>
        <v>11.24154123262054</v>
      </c>
      <c r="J12" s="150">
        <f t="shared" ref="J12:O12" si="3">Z12</f>
        <v>12.96028927231872</v>
      </c>
      <c r="K12" s="150"/>
      <c r="L12" s="150">
        <f>AB12</f>
        <v>0</v>
      </c>
      <c r="M12" s="150">
        <f t="shared" si="3"/>
        <v>45.198428179090016</v>
      </c>
      <c r="N12" s="150">
        <f t="shared" si="3"/>
        <v>197.28440336751831</v>
      </c>
      <c r="O12" s="150">
        <f t="shared" si="3"/>
        <v>237.65175597556478</v>
      </c>
      <c r="P12" s="150">
        <f t="shared" si="2"/>
        <v>179.7</v>
      </c>
      <c r="Q12" s="150">
        <f t="shared" si="2"/>
        <v>181.9</v>
      </c>
      <c r="S12" s="152">
        <f>SUMIF('Flt III'!D:D,A12,'Flt III'!E:E)/3.2808^2</f>
        <v>0</v>
      </c>
      <c r="T12" s="152">
        <f>SUMIF('Flt IIa'!A:A,A12,'Flt IIa'!E:E)/3.2808^2</f>
        <v>0</v>
      </c>
      <c r="U12" s="152">
        <f>SUMIF('OPC Des'!A:A,A12,'OPC Des'!F:F)/3.2808^2</f>
        <v>0</v>
      </c>
      <c r="V12" s="152">
        <f>SUMIF('LCS 5'!A:A,A12,'LCS 5'!E:E)</f>
        <v>0</v>
      </c>
      <c r="W12" s="152">
        <f>SUMIF('USCG Summary'!$A$25:$A$50,A12,'USCG Summary'!$F$25:$F$50)/3.2808^2</f>
        <v>0</v>
      </c>
      <c r="X12" s="152">
        <f>SUMIF('USCG Summary'!$A$25:$A$50,A12,'USCG Summary'!$I$25:$I$50)/3.2808^2</f>
        <v>9.0118140459850604</v>
      </c>
      <c r="Y12" s="152">
        <f>SUMIF('USCG Summary'!$A$25:$A$50,A12,'USCG Summary'!$L$25:$L$50)/3.2808^2</f>
        <v>11.24154123262054</v>
      </c>
      <c r="Z12" s="152">
        <f>SUMIF('USCG Summary'!$A$25:$A$50,A12,'USCG Summary'!$O$25:$O$50)/3.2808^2</f>
        <v>12.96028927231872</v>
      </c>
      <c r="AA12" s="152">
        <f>SUMIF('USCG Summary'!$A$25:$A$50,A12,'USCG Summary'!$P$25:$P$50)/3.2808^2</f>
        <v>0</v>
      </c>
      <c r="AB12" s="152">
        <f>SUMIF('USCG Summary'!$A$25:$A$50,A12,'USCG Summary'!$Q$25:$Q$50)/3.2808^2</f>
        <v>0</v>
      </c>
      <c r="AC12" s="152">
        <f>SUMIF('USCG Summary'!$A$25:$A$50,A12,'USCG Summary'!$T$25:$T$50)/3.2808^2</f>
        <v>45.198428179090016</v>
      </c>
      <c r="AD12" s="152">
        <f>SUMIF('USCG Summary'!$A$25:$A$50,A12,'USCG Summary'!$W$25:$W$50)/3.2808^2</f>
        <v>197.28440336751831</v>
      </c>
      <c r="AE12" s="152">
        <f>SUMIF('USCG Summary'!$A$25:$A$50,A12,'USCG Summary'!$Z$25:$Z$50)/3.2808^2</f>
        <v>237.65175597556478</v>
      </c>
      <c r="AF12" s="152">
        <f>SUMIF(Comp!$A$75:$A$400,Areas!A12,Comp!$F$75:$F$400)</f>
        <v>179.7</v>
      </c>
      <c r="AG12" s="152">
        <f>SUMIF(Comp!$A$75:$A$400,Areas!A12,Comp!$G$75:$G$400)</f>
        <v>181.9</v>
      </c>
      <c r="AH12" s="152"/>
      <c r="AI12" s="152">
        <f>SUMIF('Flt III'!D:D,A12,'Flt III'!F:F)/3.2808^3</f>
        <v>0</v>
      </c>
      <c r="AK12" s="150">
        <f>AK13+AK22+AK37+AK47+AK56+AK58</f>
        <v>3125.9540950164242</v>
      </c>
    </row>
    <row r="13" spans="1:37" s="134" customFormat="1">
      <c r="A13" s="140">
        <v>1.1100000000000001</v>
      </c>
      <c r="B13" s="140" t="str">
        <f>Comp!B77</f>
        <v>EXTERIOR COMMUNICATIONS</v>
      </c>
      <c r="C13" s="149">
        <f>IF(S13=0,SUM(C14,C17,C18,C20),S13)</f>
        <v>166.85791779988833</v>
      </c>
      <c r="D13" s="149">
        <f>IF(T13=0,SUM(D14,D17,D18,D20),T13)</f>
        <v>119.01168858666867</v>
      </c>
      <c r="E13" s="149">
        <f>IF(U13=0,SUM(E14,E17,E18,E20),U13)</f>
        <v>0</v>
      </c>
      <c r="F13" s="149">
        <f>IF(V13=0,SUM(F14,F17,F18,F20),V13)</f>
        <v>27.85</v>
      </c>
      <c r="G13" s="149"/>
      <c r="H13" s="149"/>
      <c r="I13" s="149"/>
      <c r="J13" s="149"/>
      <c r="K13" s="149"/>
      <c r="L13" s="149"/>
      <c r="M13" s="149"/>
      <c r="N13" s="149"/>
      <c r="O13" s="149"/>
      <c r="P13" s="149">
        <f t="shared" si="2"/>
        <v>5.9</v>
      </c>
      <c r="Q13" s="149">
        <f t="shared" si="2"/>
        <v>5.9</v>
      </c>
      <c r="S13" s="153">
        <f>SUMIF('Flt III'!D:D,A13,'Flt III'!E:E)/3.2808^2</f>
        <v>0</v>
      </c>
      <c r="T13" s="153">
        <f>SUMIF('Flt IIa'!A:A,A13,'Flt IIa'!E:E)/3.2808^2</f>
        <v>0</v>
      </c>
      <c r="U13" s="153">
        <f>SUMIF('OPC Des'!A:A,A13,'OPC Des'!F:F)/3.2808^2</f>
        <v>0</v>
      </c>
      <c r="V13" s="153">
        <f>SUMIF('LCS 5'!A:A,A13,'LCS 5'!E:E)</f>
        <v>0</v>
      </c>
      <c r="W13" s="153">
        <f>SUMIF('USCG Summary'!$A$25:$A$50,A13,'USCG Summary'!$F$25:$F$50)/3.2808^2</f>
        <v>0</v>
      </c>
      <c r="X13" s="153">
        <f>SUMIF('USCG Summary'!$A$25:$A$50,A13,'USCG Summary'!$I$25:$I$50)/3.2808^2</f>
        <v>0</v>
      </c>
      <c r="Y13" s="153">
        <f>SUMIF('USCG Summary'!$A$25:$A$50,A13,'USCG Summary'!$L$25:$L$50)/3.2808^2</f>
        <v>0</v>
      </c>
      <c r="Z13" s="153">
        <f>SUMIF('USCG Summary'!$A$25:$A$50,A13,'USCG Summary'!$O$25:$O$50)/3.2808^2</f>
        <v>0</v>
      </c>
      <c r="AA13" s="153">
        <f>SUMIF('USCG Summary'!$A$25:$A$50,A13,'USCG Summary'!$P$25:$P$50)/3.2808^2</f>
        <v>0</v>
      </c>
      <c r="AB13" s="153">
        <f>SUMIF('USCG Summary'!$A$25:$A$50,A13,'USCG Summary'!$Q$25:$Q$50)/3.2808^2</f>
        <v>0</v>
      </c>
      <c r="AC13" s="153">
        <f>SUMIF('USCG Summary'!$A$25:$A$50,A13,'USCG Summary'!$T$25:$T$50)/3.2808^2</f>
        <v>0</v>
      </c>
      <c r="AD13" s="153">
        <f>SUMIF('USCG Summary'!$A$25:$A$50,A13,'USCG Summary'!$W$25:$W$50)/3.2808^2</f>
        <v>0</v>
      </c>
      <c r="AE13" s="153">
        <f>SUMIF('USCG Summary'!$A$25:$A$50,A13,'USCG Summary'!$Z$25:$Z$50)/3.2808^2</f>
        <v>0</v>
      </c>
      <c r="AF13" s="153">
        <f>SUMIF(Comp!$A$75:$A$400,Areas!A13,Comp!$F$75:$F$400)</f>
        <v>5.9</v>
      </c>
      <c r="AG13" s="153">
        <f>SUMIF(Comp!$A$75:$A$400,Areas!A13,Comp!$G$75:$G$400)</f>
        <v>5.9</v>
      </c>
      <c r="AH13" s="153"/>
      <c r="AI13" s="153">
        <f>SUMIF('Flt III'!D:D,A13,'Flt III'!F:F)/3.2808^3</f>
        <v>0</v>
      </c>
      <c r="AK13" s="149">
        <f>IF(AI13=0,SUM(AK14,AK17,AK18,AK20),AI13)</f>
        <v>469.42549038923852</v>
      </c>
    </row>
    <row r="14" spans="1:37" s="132" customFormat="1">
      <c r="A14" s="142">
        <v>1.111</v>
      </c>
      <c r="B14" s="142" t="str">
        <f>Comp!B78</f>
        <v>RADIO</v>
      </c>
      <c r="C14" s="143">
        <f>IF(S14=0,SUM(C15:C16),S14)</f>
        <v>113.43737062007997</v>
      </c>
      <c r="D14" s="143">
        <f>IF(T14=0,SUM(D15:D16),T14)</f>
        <v>113.43737062007997</v>
      </c>
      <c r="E14" s="143">
        <f>IF(U14=0,SUM(E15:E16),U14)</f>
        <v>0</v>
      </c>
      <c r="F14" s="143">
        <f>IF(V14=0,SUM(F15:F16),V14)</f>
        <v>27.85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>
        <f t="shared" si="2"/>
        <v>0</v>
      </c>
      <c r="Q14" s="143">
        <f t="shared" si="2"/>
        <v>0</v>
      </c>
      <c r="S14" s="154">
        <f>SUMIF('Flt III'!D:D,A14,'Flt III'!E:E)/3.2808^2</f>
        <v>0</v>
      </c>
      <c r="T14" s="154">
        <f>SUMIF('Flt IIa'!A:A,A14,'Flt IIa'!E:E)/3.2808^2</f>
        <v>113.43737062007997</v>
      </c>
      <c r="U14" s="154">
        <f>SUMIF('OPC Des'!A:A,A14,'OPC Des'!F:F)/3.2808^2</f>
        <v>0</v>
      </c>
      <c r="V14" s="154">
        <f>SUMIF('LCS 5'!A:A,A14,'LCS 5'!E:E)</f>
        <v>27.85</v>
      </c>
      <c r="W14" s="154">
        <f>SUMIF('USCG Summary'!$A$25:$A$50,A14,'USCG Summary'!$F$25:$F$50)/3.2808^2</f>
        <v>0</v>
      </c>
      <c r="X14" s="154">
        <f>SUMIF('USCG Summary'!$A$25:$A$50,A14,'USCG Summary'!$I$25:$I$50)/3.2808^2</f>
        <v>0</v>
      </c>
      <c r="Y14" s="154">
        <f>SUMIF('USCG Summary'!$A$25:$A$50,A14,'USCG Summary'!$L$25:$L$50)/3.2808^2</f>
        <v>0</v>
      </c>
      <c r="Z14" s="154">
        <f>SUMIF('USCG Summary'!$A$25:$A$50,A14,'USCG Summary'!$O$25:$O$50)/3.2808^2</f>
        <v>0</v>
      </c>
      <c r="AA14" s="154">
        <f>SUMIF('USCG Summary'!$A$25:$A$50,A14,'USCG Summary'!$P$25:$P$50)/3.2808^2</f>
        <v>0</v>
      </c>
      <c r="AB14" s="154">
        <f>SUMIF('USCG Summary'!$A$25:$A$50,A14,'USCG Summary'!$Q$25:$Q$50)/3.2808^2</f>
        <v>0</v>
      </c>
      <c r="AC14" s="154">
        <f>SUMIF('USCG Summary'!$A$25:$A$50,A14,'USCG Summary'!$T$25:$T$50)/3.2808^2</f>
        <v>0</v>
      </c>
      <c r="AD14" s="154">
        <f>SUMIF('USCG Summary'!$A$25:$A$50,A14,'USCG Summary'!$W$25:$W$50)/3.2808^2</f>
        <v>0</v>
      </c>
      <c r="AE14" s="154">
        <f>SUMIF('USCG Summary'!$A$25:$A$50,A14,'USCG Summary'!$Z$25:$Z$50)/3.2808^2</f>
        <v>0</v>
      </c>
      <c r="AF14" s="154">
        <f>SUMIF(Comp!$A$75:$A$400,Areas!A14,Comp!$F$75:$F$400)</f>
        <v>0</v>
      </c>
      <c r="AG14" s="154">
        <f>SUMIF(Comp!$A$75:$A$400,Areas!A14,Comp!$G$75:$G$400)</f>
        <v>0</v>
      </c>
      <c r="AH14" s="154"/>
      <c r="AI14" s="154">
        <f>SUMIF('Flt III'!D:D,A14,'Flt III'!F:F)/3.2808^3</f>
        <v>0</v>
      </c>
      <c r="AK14" s="143">
        <f>IF(AI14=0,SUM(AK15:AK16),AI14)</f>
        <v>332.79172124355017</v>
      </c>
    </row>
    <row r="15" spans="1:37" s="148" customFormat="1">
      <c r="A15" s="146" t="s">
        <v>1456</v>
      </c>
      <c r="B15" s="146"/>
      <c r="C15" s="147">
        <f t="shared" ref="C15:F19" si="4">S15</f>
        <v>80.54889461720667</v>
      </c>
      <c r="D15" s="147">
        <f t="shared" si="4"/>
        <v>0</v>
      </c>
      <c r="E15" s="147">
        <f t="shared" si="4"/>
        <v>0</v>
      </c>
      <c r="F15" s="147">
        <f t="shared" si="4"/>
        <v>0</v>
      </c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S15" s="155">
        <f>SUMIF('Flt III'!D:D,A15,'Flt III'!E:E)/3.2808^2</f>
        <v>80.54889461720667</v>
      </c>
      <c r="T15" s="155">
        <f>SUMIF('Flt IIa'!A:A,A15,'Flt IIa'!E:E)/3.2808^2</f>
        <v>0</v>
      </c>
      <c r="U15" s="155">
        <f>SUMIF('OPC Des'!A:A,A15,'OPC Des'!F:F)/3.2808^2</f>
        <v>0</v>
      </c>
      <c r="V15" s="155">
        <f>SUMIF('LCS 5'!A:A,A15,'LCS 5'!E:E)</f>
        <v>0</v>
      </c>
      <c r="W15" s="155">
        <f>SUMIF('USCG Summary'!$A$25:$A$50,A15,'USCG Summary'!$F$25:$F$50)/3.2808^2</f>
        <v>0</v>
      </c>
      <c r="X15" s="155">
        <f>SUMIF('USCG Summary'!$A$25:$A$50,A15,'USCG Summary'!$I$25:$I$50)/3.2808^2</f>
        <v>0</v>
      </c>
      <c r="Y15" s="155">
        <f>SUMIF('USCG Summary'!$A$25:$A$50,A15,'USCG Summary'!$L$25:$L$50)/3.2808^2</f>
        <v>0</v>
      </c>
      <c r="Z15" s="155">
        <f>SUMIF('USCG Summary'!$A$25:$A$50,A15,'USCG Summary'!$O$25:$O$50)/3.2808^2</f>
        <v>0</v>
      </c>
      <c r="AA15" s="155">
        <f>SUMIF('USCG Summary'!$A$25:$A$50,A15,'USCG Summary'!$P$25:$P$50)/3.2808^2</f>
        <v>0</v>
      </c>
      <c r="AB15" s="155">
        <f>SUMIF('USCG Summary'!$A$25:$A$50,A15,'USCG Summary'!$Q$25:$Q$50)/3.2808^2</f>
        <v>0</v>
      </c>
      <c r="AC15" s="155">
        <f>SUMIF('USCG Summary'!$A$25:$A$50,A15,'USCG Summary'!$T$25:$T$50)/3.2808^2</f>
        <v>0</v>
      </c>
      <c r="AD15" s="155">
        <f>SUMIF('USCG Summary'!$A$25:$A$50,A15,'USCG Summary'!$W$25:$W$50)/3.2808^2</f>
        <v>0</v>
      </c>
      <c r="AE15" s="155">
        <f>SUMIF('USCG Summary'!$A$25:$A$50,A15,'USCG Summary'!$Z$25:$Z$50)/3.2808^2</f>
        <v>0</v>
      </c>
      <c r="AF15" s="155">
        <f>SUMIF(Comp!$A$75:$A$400,Areas!A15,Comp!$F$75:$F$400)</f>
        <v>0</v>
      </c>
      <c r="AG15" s="155">
        <f>SUMIF(Comp!$A$75:$A$400,Areas!A15,Comp!$G$75:$G$400)</f>
        <v>0</v>
      </c>
      <c r="AH15" s="155"/>
      <c r="AI15" s="155">
        <f>SUMIF('Flt III'!D:D,A15,'Flt III'!F:F)/3.2808^3</f>
        <v>240.87188401103111</v>
      </c>
      <c r="AK15" s="147">
        <f>AI15</f>
        <v>240.87188401103111</v>
      </c>
    </row>
    <row r="16" spans="1:37" s="148" customFormat="1">
      <c r="A16" s="146" t="s">
        <v>1453</v>
      </c>
      <c r="B16" s="146"/>
      <c r="C16" s="147">
        <f t="shared" si="4"/>
        <v>32.888476002873311</v>
      </c>
      <c r="D16" s="147">
        <f t="shared" si="4"/>
        <v>0</v>
      </c>
      <c r="E16" s="147">
        <f t="shared" si="4"/>
        <v>0</v>
      </c>
      <c r="F16" s="147">
        <f t="shared" si="4"/>
        <v>0</v>
      </c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S16" s="155">
        <f>SUMIF('Flt III'!D:D,A16,'Flt III'!E:E)/3.2808^2</f>
        <v>32.888476002873311</v>
      </c>
      <c r="T16" s="155">
        <f>SUMIF('Flt IIa'!A:A,A16,'Flt IIa'!E:E)/3.2808^2</f>
        <v>0</v>
      </c>
      <c r="U16" s="155">
        <f>SUMIF('OPC Des'!A:A,A16,'OPC Des'!F:F)/3.2808^2</f>
        <v>0</v>
      </c>
      <c r="V16" s="155">
        <f>SUMIF('LCS 5'!A:A,A16,'LCS 5'!E:E)</f>
        <v>0</v>
      </c>
      <c r="W16" s="155">
        <f>SUMIF('USCG Summary'!$A$25:$A$50,A16,'USCG Summary'!$F$25:$F$50)/3.2808^2</f>
        <v>0</v>
      </c>
      <c r="X16" s="155">
        <f>SUMIF('USCG Summary'!$A$25:$A$50,A16,'USCG Summary'!$I$25:$I$50)/3.2808^2</f>
        <v>0</v>
      </c>
      <c r="Y16" s="155">
        <f>SUMIF('USCG Summary'!$A$25:$A$50,A16,'USCG Summary'!$L$25:$L$50)/3.2808^2</f>
        <v>0</v>
      </c>
      <c r="Z16" s="155">
        <f>SUMIF('USCG Summary'!$A$25:$A$50,A16,'USCG Summary'!$O$25:$O$50)/3.2808^2</f>
        <v>0</v>
      </c>
      <c r="AA16" s="155">
        <f>SUMIF('USCG Summary'!$A$25:$A$50,A16,'USCG Summary'!$P$25:$P$50)/3.2808^2</f>
        <v>0</v>
      </c>
      <c r="AB16" s="155">
        <f>SUMIF('USCG Summary'!$A$25:$A$50,A16,'USCG Summary'!$Q$25:$Q$50)/3.2808^2</f>
        <v>0</v>
      </c>
      <c r="AC16" s="155">
        <f>SUMIF('USCG Summary'!$A$25:$A$50,A16,'USCG Summary'!$T$25:$T$50)/3.2808^2</f>
        <v>0</v>
      </c>
      <c r="AD16" s="155">
        <f>SUMIF('USCG Summary'!$A$25:$A$50,A16,'USCG Summary'!$W$25:$W$50)/3.2808^2</f>
        <v>0</v>
      </c>
      <c r="AE16" s="155">
        <f>SUMIF('USCG Summary'!$A$25:$A$50,A16,'USCG Summary'!$Z$25:$Z$50)/3.2808^2</f>
        <v>0</v>
      </c>
      <c r="AF16" s="155">
        <f>SUMIF(Comp!$A$75:$A$400,Areas!A16,Comp!$F$75:$F$400)</f>
        <v>0</v>
      </c>
      <c r="AG16" s="155">
        <f>SUMIF(Comp!$A$75:$A$400,Areas!A16,Comp!$G$75:$G$400)</f>
        <v>0</v>
      </c>
      <c r="AH16" s="155"/>
      <c r="AI16" s="155">
        <f>SUMIF('Flt III'!D:D,A16,'Flt III'!F:F)/3.2808^3</f>
        <v>91.919837232519043</v>
      </c>
      <c r="AK16" s="147">
        <f>AI16</f>
        <v>91.919837232519043</v>
      </c>
    </row>
    <row r="17" spans="1:37" s="132" customFormat="1">
      <c r="A17" s="142">
        <v>1.1120000000000001</v>
      </c>
      <c r="B17" s="142" t="str">
        <f>Comp!B79</f>
        <v>UNDERWATER SYSTEMS</v>
      </c>
      <c r="C17" s="143">
        <f t="shared" si="4"/>
        <v>0</v>
      </c>
      <c r="D17" s="143">
        <f t="shared" si="4"/>
        <v>0</v>
      </c>
      <c r="E17" s="143">
        <f t="shared" si="4"/>
        <v>0</v>
      </c>
      <c r="F17" s="143">
        <f t="shared" si="4"/>
        <v>0</v>
      </c>
      <c r="G17" s="143"/>
      <c r="H17" s="143"/>
      <c r="I17" s="143"/>
      <c r="J17" s="143"/>
      <c r="K17" s="143"/>
      <c r="L17" s="143"/>
      <c r="M17" s="143"/>
      <c r="N17" s="143"/>
      <c r="O17" s="143"/>
      <c r="P17" s="143">
        <f>AF17</f>
        <v>0</v>
      </c>
      <c r="Q17" s="143">
        <f>AG17</f>
        <v>0</v>
      </c>
      <c r="S17" s="154">
        <f>SUMIF('Flt III'!D:D,A17,'Flt III'!E:E)/3.2808^2</f>
        <v>0</v>
      </c>
      <c r="T17" s="154">
        <f>SUMIF('Flt IIa'!A:A,A17,'Flt IIa'!E:E)/3.2808^2</f>
        <v>0</v>
      </c>
      <c r="U17" s="154">
        <f>SUMIF('OPC Des'!A:A,A17,'OPC Des'!F:F)/3.2808^2</f>
        <v>0</v>
      </c>
      <c r="V17" s="154">
        <f>SUMIF('LCS 5'!A:A,A17,'LCS 5'!E:E)</f>
        <v>0</v>
      </c>
      <c r="W17" s="154">
        <f>SUMIF('USCG Summary'!$A$25:$A$50,A17,'USCG Summary'!$F$25:$F$50)/3.2808^2</f>
        <v>0</v>
      </c>
      <c r="X17" s="154">
        <f>SUMIF('USCG Summary'!$A$25:$A$50,A17,'USCG Summary'!$I$25:$I$50)/3.2808^2</f>
        <v>0</v>
      </c>
      <c r="Y17" s="154">
        <f>SUMIF('USCG Summary'!$A$25:$A$50,A17,'USCG Summary'!$L$25:$L$50)/3.2808^2</f>
        <v>0</v>
      </c>
      <c r="Z17" s="154">
        <f>SUMIF('USCG Summary'!$A$25:$A$50,A17,'USCG Summary'!$O$25:$O$50)/3.2808^2</f>
        <v>0</v>
      </c>
      <c r="AA17" s="154">
        <f>SUMIF('USCG Summary'!$A$25:$A$50,A17,'USCG Summary'!$P$25:$P$50)/3.2808^2</f>
        <v>0</v>
      </c>
      <c r="AB17" s="154">
        <f>SUMIF('USCG Summary'!$A$25:$A$50,A17,'USCG Summary'!$Q$25:$Q$50)/3.2808^2</f>
        <v>0</v>
      </c>
      <c r="AC17" s="154">
        <f>SUMIF('USCG Summary'!$A$25:$A$50,A17,'USCG Summary'!$T$25:$T$50)/3.2808^2</f>
        <v>0</v>
      </c>
      <c r="AD17" s="154">
        <f>SUMIF('USCG Summary'!$A$25:$A$50,A17,'USCG Summary'!$W$25:$W$50)/3.2808^2</f>
        <v>0</v>
      </c>
      <c r="AE17" s="154">
        <f>SUMIF('USCG Summary'!$A$25:$A$50,A17,'USCG Summary'!$Z$25:$Z$50)/3.2808^2</f>
        <v>0</v>
      </c>
      <c r="AF17" s="154">
        <f>SUMIF(Comp!$A$75:$A$400,Areas!A17,Comp!$F$75:$F$400)</f>
        <v>0</v>
      </c>
      <c r="AG17" s="154">
        <f>SUMIF(Comp!$A$75:$A$400,Areas!A17,Comp!$G$75:$G$400)</f>
        <v>0</v>
      </c>
      <c r="AH17" s="154"/>
      <c r="AI17" s="154">
        <f>SUMIF('Flt III'!D:D,A17,'Flt III'!F:F)/3.2808^3</f>
        <v>0</v>
      </c>
      <c r="AK17" s="143">
        <f>AI17/3.2808^2</f>
        <v>0</v>
      </c>
    </row>
    <row r="18" spans="1:37" s="132" customFormat="1">
      <c r="A18" s="142">
        <v>1.113</v>
      </c>
      <c r="B18" s="142" t="str">
        <f>Comp!B80</f>
        <v>VISUAL COM</v>
      </c>
      <c r="C18" s="143">
        <f t="shared" si="4"/>
        <v>0</v>
      </c>
      <c r="D18" s="143">
        <f t="shared" si="4"/>
        <v>5.5743179665886968</v>
      </c>
      <c r="E18" s="143">
        <f t="shared" si="4"/>
        <v>0</v>
      </c>
      <c r="F18" s="143">
        <f t="shared" si="4"/>
        <v>0</v>
      </c>
      <c r="G18" s="143"/>
      <c r="H18" s="143"/>
      <c r="I18" s="143"/>
      <c r="J18" s="143"/>
      <c r="K18" s="143"/>
      <c r="L18" s="143"/>
      <c r="M18" s="143"/>
      <c r="N18" s="143"/>
      <c r="O18" s="143"/>
      <c r="P18" s="143">
        <f>AF18</f>
        <v>5.9</v>
      </c>
      <c r="Q18" s="143">
        <f>AG18</f>
        <v>5.9</v>
      </c>
      <c r="S18" s="154">
        <f>SUMIF('Flt III'!D:D,A18,'Flt III'!E:E)/3.2808^2</f>
        <v>0</v>
      </c>
      <c r="T18" s="154">
        <f>SUMIF('Flt IIa'!A:A,A18,'Flt IIa'!E:E)/3.2808^2</f>
        <v>5.5743179665886968</v>
      </c>
      <c r="U18" s="154">
        <f>SUMIF('OPC Des'!A:A,A18,'OPC Des'!F:F)/3.2808^2</f>
        <v>0</v>
      </c>
      <c r="V18" s="154">
        <f>SUMIF('LCS 5'!A:A,A18,'LCS 5'!E:E)</f>
        <v>0</v>
      </c>
      <c r="W18" s="154">
        <f>SUMIF('USCG Summary'!$A$25:$A$50,A18,'USCG Summary'!$F$25:$F$50)/3.2808^2</f>
        <v>0</v>
      </c>
      <c r="X18" s="154">
        <f>SUMIF('USCG Summary'!$A$25:$A$50,A18,'USCG Summary'!$I$25:$I$50)/3.2808^2</f>
        <v>0</v>
      </c>
      <c r="Y18" s="154">
        <f>SUMIF('USCG Summary'!$A$25:$A$50,A18,'USCG Summary'!$L$25:$L$50)/3.2808^2</f>
        <v>0</v>
      </c>
      <c r="Z18" s="154">
        <f>SUMIF('USCG Summary'!$A$25:$A$50,A18,'USCG Summary'!$O$25:$O$50)/3.2808^2</f>
        <v>0</v>
      </c>
      <c r="AA18" s="154">
        <f>SUMIF('USCG Summary'!$A$25:$A$50,A18,'USCG Summary'!$P$25:$P$50)/3.2808^2</f>
        <v>0</v>
      </c>
      <c r="AB18" s="154">
        <f>SUMIF('USCG Summary'!$A$25:$A$50,A18,'USCG Summary'!$Q$25:$Q$50)/3.2808^2</f>
        <v>0</v>
      </c>
      <c r="AC18" s="154">
        <f>SUMIF('USCG Summary'!$A$25:$A$50,A18,'USCG Summary'!$T$25:$T$50)/3.2808^2</f>
        <v>0</v>
      </c>
      <c r="AD18" s="154">
        <f>SUMIF('USCG Summary'!$A$25:$A$50,A18,'USCG Summary'!$W$25:$W$50)/3.2808^2</f>
        <v>0</v>
      </c>
      <c r="AE18" s="154">
        <f>SUMIF('USCG Summary'!$A$25:$A$50,A18,'USCG Summary'!$Z$25:$Z$50)/3.2808^2</f>
        <v>0</v>
      </c>
      <c r="AF18" s="154">
        <f>SUMIF(Comp!$A$75:$A$400,Areas!A18,Comp!$F$75:$F$400)</f>
        <v>5.9</v>
      </c>
      <c r="AG18" s="154">
        <f>SUMIF(Comp!$A$75:$A$400,Areas!A18,Comp!$G$75:$G$400)</f>
        <v>5.9</v>
      </c>
      <c r="AH18" s="154"/>
      <c r="AI18" s="154">
        <f>SUMIF('Flt III'!D:D,A18,'Flt III'!F:F)/3.2808^3</f>
        <v>0</v>
      </c>
      <c r="AK18" s="143">
        <f>AI18/3.2808^2</f>
        <v>0</v>
      </c>
    </row>
    <row r="19" spans="1:37" s="148" customFormat="1">
      <c r="A19" s="146" t="s">
        <v>1450</v>
      </c>
      <c r="B19" s="146"/>
      <c r="C19" s="147">
        <f t="shared" si="4"/>
        <v>5.5743179665886968</v>
      </c>
      <c r="D19" s="147">
        <f t="shared" si="4"/>
        <v>0</v>
      </c>
      <c r="E19" s="147">
        <f t="shared" si="4"/>
        <v>0</v>
      </c>
      <c r="F19" s="147">
        <f t="shared" si="4"/>
        <v>0</v>
      </c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S19" s="155">
        <f>SUMIF('Flt III'!D:D,A19,'Flt III'!E:E)/3.2808^2</f>
        <v>5.5743179665886968</v>
      </c>
      <c r="T19" s="155">
        <f>SUMIF('Flt IIa'!A:A,A19,'Flt IIa'!E:E)/3.2808^2</f>
        <v>0</v>
      </c>
      <c r="U19" s="155">
        <f>SUMIF('OPC Des'!A:A,A19,'OPC Des'!F:F)/3.2808^2</f>
        <v>0</v>
      </c>
      <c r="V19" s="155">
        <f>SUMIF('LCS 5'!A:A,A19,'LCS 5'!E:E)</f>
        <v>0</v>
      </c>
      <c r="W19" s="155">
        <f>SUMIF('USCG Summary'!$A$25:$A$50,A19,'USCG Summary'!$F$25:$F$50)/3.2808^2</f>
        <v>0</v>
      </c>
      <c r="X19" s="155">
        <f>SUMIF('USCG Summary'!$A$25:$A$50,A19,'USCG Summary'!$I$25:$I$50)/3.2808^2</f>
        <v>0</v>
      </c>
      <c r="Y19" s="155">
        <f>SUMIF('USCG Summary'!$A$25:$A$50,A19,'USCG Summary'!$L$25:$L$50)/3.2808^2</f>
        <v>0</v>
      </c>
      <c r="Z19" s="155">
        <f>SUMIF('USCG Summary'!$A$25:$A$50,A19,'USCG Summary'!$O$25:$O$50)/3.2808^2</f>
        <v>0</v>
      </c>
      <c r="AA19" s="155">
        <f>SUMIF('USCG Summary'!$A$25:$A$50,A19,'USCG Summary'!$P$25:$P$50)/3.2808^2</f>
        <v>0</v>
      </c>
      <c r="AB19" s="155">
        <f>SUMIF('USCG Summary'!$A$25:$A$50,A19,'USCG Summary'!$Q$25:$Q$50)/3.2808^2</f>
        <v>0</v>
      </c>
      <c r="AC19" s="155">
        <f>SUMIF('USCG Summary'!$A$25:$A$50,A19,'USCG Summary'!$T$25:$T$50)/3.2808^2</f>
        <v>0</v>
      </c>
      <c r="AD19" s="155">
        <f>SUMIF('USCG Summary'!$A$25:$A$50,A19,'USCG Summary'!$W$25:$W$50)/3.2808^2</f>
        <v>0</v>
      </c>
      <c r="AE19" s="155">
        <f>SUMIF('USCG Summary'!$A$25:$A$50,A19,'USCG Summary'!$Z$25:$Z$50)/3.2808^2</f>
        <v>0</v>
      </c>
      <c r="AF19" s="155">
        <f>SUMIF(Comp!$A$75:$A$400,Areas!A19,Comp!$F$75:$F$400)</f>
        <v>0</v>
      </c>
      <c r="AG19" s="155">
        <f>SUMIF(Comp!$A$75:$A$400,Areas!A19,Comp!$G$75:$G$400)</f>
        <v>0</v>
      </c>
      <c r="AH19" s="155"/>
      <c r="AI19" s="155">
        <f>SUMIF('Flt III'!D:D,A19,'Flt III'!F:F)/3.2808^3</f>
        <v>14.442118604000219</v>
      </c>
      <c r="AK19" s="147">
        <f>AI19</f>
        <v>14.442118604000219</v>
      </c>
    </row>
    <row r="20" spans="1:37" s="132" customFormat="1">
      <c r="A20" s="142">
        <v>1.1180000000000001</v>
      </c>
      <c r="B20" s="142" t="str">
        <f>Comp!B81</f>
        <v>SIGNAL SHELTER</v>
      </c>
      <c r="C20" s="143">
        <f>IF(S20=0,SUM(C21),S20)</f>
        <v>53.420547179808345</v>
      </c>
      <c r="D20" s="143">
        <f>IF(T20=0,SUM(D21),T20)</f>
        <v>0</v>
      </c>
      <c r="E20" s="143">
        <f>IF(U20=0,SUM(E21),U20)</f>
        <v>0</v>
      </c>
      <c r="F20" s="143">
        <f>IF(V20=0,SUM(F21),V20)</f>
        <v>0</v>
      </c>
      <c r="G20" s="143"/>
      <c r="H20" s="143"/>
      <c r="I20" s="143"/>
      <c r="J20" s="143"/>
      <c r="K20" s="143"/>
      <c r="L20" s="143"/>
      <c r="M20" s="143"/>
      <c r="N20" s="143"/>
      <c r="O20" s="143"/>
      <c r="P20" s="143">
        <f>AF20</f>
        <v>0</v>
      </c>
      <c r="Q20" s="143">
        <f>AG20</f>
        <v>0</v>
      </c>
      <c r="S20" s="154">
        <f>SUMIF('Flt III'!D:D,A20,'Flt III'!E:E)/3.2808^2</f>
        <v>0</v>
      </c>
      <c r="T20" s="154">
        <f>SUMIF('Flt IIa'!A:A,A20,'Flt IIa'!E:E)/3.2808^2</f>
        <v>0</v>
      </c>
      <c r="U20" s="154">
        <f>SUMIF('OPC Des'!A:A,A20,'OPC Des'!F:F)/3.2808^2</f>
        <v>0</v>
      </c>
      <c r="V20" s="154">
        <f>SUMIF('LCS 5'!A:A,A20,'LCS 5'!E:E)</f>
        <v>0</v>
      </c>
      <c r="W20" s="154">
        <f>SUMIF('USCG Summary'!$A$25:$A$50,A20,'USCG Summary'!$F$25:$F$50)/3.2808^2</f>
        <v>0</v>
      </c>
      <c r="X20" s="154">
        <f>SUMIF('USCG Summary'!$A$25:$A$50,A20,'USCG Summary'!$I$25:$I$50)/3.2808^2</f>
        <v>0</v>
      </c>
      <c r="Y20" s="154">
        <f>SUMIF('USCG Summary'!$A$25:$A$50,A20,'USCG Summary'!$L$25:$L$50)/3.2808^2</f>
        <v>0</v>
      </c>
      <c r="Z20" s="154">
        <f>SUMIF('USCG Summary'!$A$25:$A$50,A20,'USCG Summary'!$O$25:$O$50)/3.2808^2</f>
        <v>0</v>
      </c>
      <c r="AA20" s="154">
        <f>SUMIF('USCG Summary'!$A$25:$A$50,A20,'USCG Summary'!$P$25:$P$50)/3.2808^2</f>
        <v>0</v>
      </c>
      <c r="AB20" s="154">
        <f>SUMIF('USCG Summary'!$A$25:$A$50,A20,'USCG Summary'!$Q$25:$Q$50)/3.2808^2</f>
        <v>0</v>
      </c>
      <c r="AC20" s="154">
        <f>SUMIF('USCG Summary'!$A$25:$A$50,A20,'USCG Summary'!$T$25:$T$50)/3.2808^2</f>
        <v>0</v>
      </c>
      <c r="AD20" s="154">
        <f>SUMIF('USCG Summary'!$A$25:$A$50,A20,'USCG Summary'!$W$25:$W$50)/3.2808^2</f>
        <v>0</v>
      </c>
      <c r="AE20" s="154">
        <f>SUMIF('USCG Summary'!$A$25:$A$50,A20,'USCG Summary'!$Z$25:$Z$50)/3.2808^2</f>
        <v>0</v>
      </c>
      <c r="AF20" s="154">
        <f>SUMIF(Comp!$A$75:$A$400,Areas!A20,Comp!$F$75:$F$400)</f>
        <v>0</v>
      </c>
      <c r="AG20" s="154">
        <f>SUMIF(Comp!$A$75:$A$400,Areas!A20,Comp!$G$75:$G$400)</f>
        <v>0</v>
      </c>
      <c r="AH20" s="154"/>
      <c r="AI20" s="154">
        <f>SUMIF('Flt III'!D:D,A20,'Flt III'!F:F)/3.2808^3</f>
        <v>0</v>
      </c>
      <c r="AK20" s="143">
        <f>IF(AI20=0,SUM(AK21),AI20)</f>
        <v>136.63376914568835</v>
      </c>
    </row>
    <row r="21" spans="1:37" s="148" customFormat="1">
      <c r="A21" s="146" t="s">
        <v>1445</v>
      </c>
      <c r="B21" s="146"/>
      <c r="C21" s="147">
        <f>S21</f>
        <v>53.420547179808345</v>
      </c>
      <c r="D21" s="147">
        <f>T21</f>
        <v>0</v>
      </c>
      <c r="E21" s="147">
        <f>U21</f>
        <v>0</v>
      </c>
      <c r="F21" s="147">
        <f>V21</f>
        <v>0</v>
      </c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S21" s="155">
        <f>SUMIF('Flt III'!D:D,A21,'Flt III'!E:E)/3.2808^2</f>
        <v>53.420547179808345</v>
      </c>
      <c r="T21" s="155">
        <f>SUMIF('Flt IIa'!A:A,A21,'Flt IIa'!E:E)/3.2808^2</f>
        <v>0</v>
      </c>
      <c r="U21" s="155">
        <f>SUMIF('OPC Des'!A:A,A21,'OPC Des'!F:F)/3.2808^2</f>
        <v>0</v>
      </c>
      <c r="V21" s="155">
        <f>SUMIF('LCS 5'!A:A,A21,'LCS 5'!E:E)</f>
        <v>0</v>
      </c>
      <c r="W21" s="155">
        <f>SUMIF('USCG Summary'!$A$25:$A$50,A21,'USCG Summary'!$F$25:$F$50)/3.2808^2</f>
        <v>0</v>
      </c>
      <c r="X21" s="155">
        <f>SUMIF('USCG Summary'!$A$25:$A$50,A21,'USCG Summary'!$I$25:$I$50)/3.2808^2</f>
        <v>0</v>
      </c>
      <c r="Y21" s="155">
        <f>SUMIF('USCG Summary'!$A$25:$A$50,A21,'USCG Summary'!$L$25:$L$50)/3.2808^2</f>
        <v>0</v>
      </c>
      <c r="Z21" s="155">
        <f>SUMIF('USCG Summary'!$A$25:$A$50,A21,'USCG Summary'!$O$25:$O$50)/3.2808^2</f>
        <v>0</v>
      </c>
      <c r="AA21" s="155">
        <f>SUMIF('USCG Summary'!$A$25:$A$50,A21,'USCG Summary'!$P$25:$P$50)/3.2808^2</f>
        <v>0</v>
      </c>
      <c r="AB21" s="155">
        <f>SUMIF('USCG Summary'!$A$25:$A$50,A21,'USCG Summary'!$Q$25:$Q$50)/3.2808^2</f>
        <v>0</v>
      </c>
      <c r="AC21" s="155">
        <f>SUMIF('USCG Summary'!$A$25:$A$50,A21,'USCG Summary'!$T$25:$T$50)/3.2808^2</f>
        <v>0</v>
      </c>
      <c r="AD21" s="155">
        <f>SUMIF('USCG Summary'!$A$25:$A$50,A21,'USCG Summary'!$W$25:$W$50)/3.2808^2</f>
        <v>0</v>
      </c>
      <c r="AE21" s="155">
        <f>SUMIF('USCG Summary'!$A$25:$A$50,A21,'USCG Summary'!$Z$25:$Z$50)/3.2808^2</f>
        <v>0</v>
      </c>
      <c r="AF21" s="155">
        <f>SUMIF(Comp!$A$75:$A$400,Areas!A21,Comp!$F$75:$F$400)</f>
        <v>0</v>
      </c>
      <c r="AG21" s="155">
        <f>SUMIF(Comp!$A$75:$A$400,Areas!A21,Comp!$G$75:$G$400)</f>
        <v>0</v>
      </c>
      <c r="AH21" s="155"/>
      <c r="AI21" s="155">
        <f>SUMIF('Flt III'!D:D,A21,'Flt III'!F:F)/3.2808^3</f>
        <v>136.63376914568835</v>
      </c>
      <c r="AK21" s="147">
        <f>AI21</f>
        <v>136.63376914568835</v>
      </c>
    </row>
    <row r="22" spans="1:37" s="134" customFormat="1">
      <c r="A22" s="140">
        <v>1.1200000000000001</v>
      </c>
      <c r="B22" s="140" t="str">
        <f>Comp!B82</f>
        <v>SURVEILLANCE SYS</v>
      </c>
      <c r="C22" s="149">
        <f>IF(S22=0,SUM(C23,C28),S22)</f>
        <v>425.22755555127446</v>
      </c>
      <c r="D22" s="149">
        <f>IF(T22=0,SUM(D23,D28),T22)</f>
        <v>386.20732978515355</v>
      </c>
      <c r="E22" s="149">
        <f>IF(U22=0,SUM(E23,E28),U22)</f>
        <v>0</v>
      </c>
      <c r="F22" s="149">
        <f>IF(V22=0,SUM(F23,F28),V22)</f>
        <v>0</v>
      </c>
      <c r="G22" s="149"/>
      <c r="H22" s="149"/>
      <c r="I22" s="149"/>
      <c r="J22" s="149"/>
      <c r="K22" s="149"/>
      <c r="L22" s="149"/>
      <c r="M22" s="149"/>
      <c r="N22" s="149"/>
      <c r="O22" s="149"/>
      <c r="P22" s="149">
        <f>AF22</f>
        <v>0</v>
      </c>
      <c r="Q22" s="149">
        <f>AG22</f>
        <v>0</v>
      </c>
      <c r="S22" s="153">
        <f>SUMIF('Flt III'!D:D,A22,'Flt III'!E:E)/3.2808^2</f>
        <v>0</v>
      </c>
      <c r="T22" s="153">
        <f>SUMIF('Flt IIa'!A:A,A22,'Flt IIa'!E:E)/3.2808^2</f>
        <v>0</v>
      </c>
      <c r="U22" s="153">
        <f>SUMIF('OPC Des'!A:A,A22,'OPC Des'!F:F)/3.2808^2</f>
        <v>0</v>
      </c>
      <c r="V22" s="153">
        <f>SUMIF('LCS 5'!A:A,A22,'LCS 5'!E:E)</f>
        <v>0</v>
      </c>
      <c r="W22" s="153">
        <f>SUMIF('USCG Summary'!$A$25:$A$50,A22,'USCG Summary'!$F$25:$F$50)/3.2808^2</f>
        <v>0</v>
      </c>
      <c r="X22" s="153">
        <f>SUMIF('USCG Summary'!$A$25:$A$50,A22,'USCG Summary'!$I$25:$I$50)/3.2808^2</f>
        <v>0</v>
      </c>
      <c r="Y22" s="153">
        <f>SUMIF('USCG Summary'!$A$25:$A$50,A22,'USCG Summary'!$L$25:$L$50)/3.2808^2</f>
        <v>0</v>
      </c>
      <c r="Z22" s="153">
        <f>SUMIF('USCG Summary'!$A$25:$A$50,A22,'USCG Summary'!$O$25:$O$50)/3.2808^2</f>
        <v>0</v>
      </c>
      <c r="AA22" s="153">
        <f>SUMIF('USCG Summary'!$A$25:$A$50,A22,'USCG Summary'!$P$25:$P$50)/3.2808^2</f>
        <v>0</v>
      </c>
      <c r="AB22" s="153">
        <f>SUMIF('USCG Summary'!$A$25:$A$50,A22,'USCG Summary'!$Q$25:$Q$50)/3.2808^2</f>
        <v>0</v>
      </c>
      <c r="AC22" s="153">
        <f>SUMIF('USCG Summary'!$A$25:$A$50,A22,'USCG Summary'!$T$25:$T$50)/3.2808^2</f>
        <v>0</v>
      </c>
      <c r="AD22" s="153">
        <f>SUMIF('USCG Summary'!$A$25:$A$50,A22,'USCG Summary'!$W$25:$W$50)/3.2808^2</f>
        <v>0</v>
      </c>
      <c r="AE22" s="153">
        <f>SUMIF('USCG Summary'!$A$25:$A$50,A22,'USCG Summary'!$Z$25:$Z$50)/3.2808^2</f>
        <v>0</v>
      </c>
      <c r="AF22" s="153">
        <f>SUMIF(Comp!$A$75:$A$400,Areas!A22,Comp!$F$75:$F$400)</f>
        <v>0</v>
      </c>
      <c r="AG22" s="153">
        <f>SUMIF(Comp!$A$75:$A$400,Areas!A22,Comp!$G$75:$G$400)</f>
        <v>0</v>
      </c>
      <c r="AH22" s="153"/>
      <c r="AI22" s="153">
        <f>SUMIF('Flt III'!D:D,A22,'Flt III'!F:F)/3.2808^3</f>
        <v>0</v>
      </c>
      <c r="AK22" s="149">
        <f>IF(AI22=0,SUM(AK23,AK28),AI22)</f>
        <v>1491.5027193582187</v>
      </c>
    </row>
    <row r="23" spans="1:37" s="132" customFormat="1">
      <c r="A23" s="142">
        <v>1.121</v>
      </c>
      <c r="B23" s="142" t="str">
        <f>Comp!B83</f>
        <v>SURFACE SURV (RADAR)</v>
      </c>
      <c r="C23" s="143">
        <f>IF(S23=0,SUM(C24:C27),S23)</f>
        <v>252.79531978479741</v>
      </c>
      <c r="D23" s="143">
        <f>IF(T23=0,SUM(D24:D27),T23)</f>
        <v>187.94742077348224</v>
      </c>
      <c r="E23" s="143">
        <f>IF(U23=0,SUM(E24:E27),U23)</f>
        <v>0</v>
      </c>
      <c r="F23" s="143">
        <f>IF(V23=0,SUM(F24:F27),V23)</f>
        <v>0</v>
      </c>
      <c r="G23" s="143"/>
      <c r="H23" s="143"/>
      <c r="I23" s="143"/>
      <c r="J23" s="143"/>
      <c r="K23" s="143"/>
      <c r="L23" s="143"/>
      <c r="M23" s="143"/>
      <c r="N23" s="143"/>
      <c r="O23" s="143"/>
      <c r="P23" s="143">
        <f>AF23</f>
        <v>0</v>
      </c>
      <c r="Q23" s="143">
        <f>AG23</f>
        <v>0</v>
      </c>
      <c r="S23" s="154">
        <f>SUMIF('Flt III'!D:D,A23,'Flt III'!E:E)/3.2808^2</f>
        <v>0</v>
      </c>
      <c r="T23" s="154">
        <f>SUMIF('Flt IIa'!A:A,A23,'Flt IIa'!E:E)/3.2808^2</f>
        <v>187.94742077348224</v>
      </c>
      <c r="U23" s="154">
        <f>SUMIF('OPC Des'!A:A,A23,'OPC Des'!F:F)/3.2808^2</f>
        <v>0</v>
      </c>
      <c r="V23" s="154">
        <f>SUMIF('LCS 5'!A:A,A23,'LCS 5'!E:E)</f>
        <v>0</v>
      </c>
      <c r="W23" s="154">
        <f>SUMIF('USCG Summary'!$A$25:$A$50,A23,'USCG Summary'!$F$25:$F$50)/3.2808^2</f>
        <v>0</v>
      </c>
      <c r="X23" s="154">
        <f>SUMIF('USCG Summary'!$A$25:$A$50,A23,'USCG Summary'!$I$25:$I$50)/3.2808^2</f>
        <v>0</v>
      </c>
      <c r="Y23" s="154">
        <f>SUMIF('USCG Summary'!$A$25:$A$50,A23,'USCG Summary'!$L$25:$L$50)/3.2808^2</f>
        <v>0</v>
      </c>
      <c r="Z23" s="154">
        <f>SUMIF('USCG Summary'!$A$25:$A$50,A23,'USCG Summary'!$O$25:$O$50)/3.2808^2</f>
        <v>0</v>
      </c>
      <c r="AA23" s="154">
        <f>SUMIF('USCG Summary'!$A$25:$A$50,A23,'USCG Summary'!$P$25:$P$50)/3.2808^2</f>
        <v>0</v>
      </c>
      <c r="AB23" s="154">
        <f>SUMIF('USCG Summary'!$A$25:$A$50,A23,'USCG Summary'!$Q$25:$Q$50)/3.2808^2</f>
        <v>0</v>
      </c>
      <c r="AC23" s="154">
        <f>SUMIF('USCG Summary'!$A$25:$A$50,A23,'USCG Summary'!$T$25:$T$50)/3.2808^2</f>
        <v>0</v>
      </c>
      <c r="AD23" s="154">
        <f>SUMIF('USCG Summary'!$A$25:$A$50,A23,'USCG Summary'!$W$25:$W$50)/3.2808^2</f>
        <v>0</v>
      </c>
      <c r="AE23" s="154">
        <f>SUMIF('USCG Summary'!$A$25:$A$50,A23,'USCG Summary'!$Z$25:$Z$50)/3.2808^2</f>
        <v>0</v>
      </c>
      <c r="AF23" s="154">
        <f>SUMIF(Comp!$A$75:$A$400,Areas!A23,Comp!$F$75:$F$400)</f>
        <v>0</v>
      </c>
      <c r="AG23" s="154">
        <f>SUMIF(Comp!$A$75:$A$400,Areas!A23,Comp!$G$75:$G$400)</f>
        <v>0</v>
      </c>
      <c r="AH23" s="154"/>
      <c r="AI23" s="154">
        <f>SUMIF('Flt III'!D:D,A23,'Flt III'!F:F)/3.2808^3</f>
        <v>0</v>
      </c>
      <c r="AK23" s="143">
        <f>IF(AI23=0,SUM(AK24:AK27),AI23)</f>
        <v>838.86054785548731</v>
      </c>
    </row>
    <row r="24" spans="1:37" s="148" customFormat="1">
      <c r="A24" s="146" t="s">
        <v>1442</v>
      </c>
      <c r="B24" s="146"/>
      <c r="C24" s="147">
        <f t="shared" ref="C24:F27" si="5">S24</f>
        <v>19.51011288306044</v>
      </c>
      <c r="D24" s="147">
        <f t="shared" si="5"/>
        <v>0</v>
      </c>
      <c r="E24" s="147">
        <f t="shared" si="5"/>
        <v>0</v>
      </c>
      <c r="F24" s="147">
        <f t="shared" si="5"/>
        <v>0</v>
      </c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S24" s="155">
        <f>SUMIF('Flt III'!D:D,A24,'Flt III'!E:E)/3.2808^2</f>
        <v>19.51011288306044</v>
      </c>
      <c r="T24" s="155">
        <f>SUMIF('Flt IIa'!A:A,A24,'Flt IIa'!E:E)/3.2808^2</f>
        <v>0</v>
      </c>
      <c r="U24" s="155">
        <f>SUMIF('OPC Des'!A:A,A24,'OPC Des'!F:F)/3.2808^2</f>
        <v>0</v>
      </c>
      <c r="V24" s="155">
        <f>SUMIF('LCS 5'!A:A,A24,'LCS 5'!E:E)</f>
        <v>0</v>
      </c>
      <c r="W24" s="155">
        <f>SUMIF('USCG Summary'!$A$25:$A$50,A24,'USCG Summary'!$F$25:$F$50)/3.2808^2</f>
        <v>0</v>
      </c>
      <c r="X24" s="155">
        <f>SUMIF('USCG Summary'!$A$25:$A$50,A24,'USCG Summary'!$I$25:$I$50)/3.2808^2</f>
        <v>0</v>
      </c>
      <c r="Y24" s="155">
        <f>SUMIF('USCG Summary'!$A$25:$A$50,A24,'USCG Summary'!$L$25:$L$50)/3.2808^2</f>
        <v>0</v>
      </c>
      <c r="Z24" s="155">
        <f>SUMIF('USCG Summary'!$A$25:$A$50,A24,'USCG Summary'!$O$25:$O$50)/3.2808^2</f>
        <v>0</v>
      </c>
      <c r="AA24" s="155">
        <f>SUMIF('USCG Summary'!$A$25:$A$50,A24,'USCG Summary'!$P$25:$P$50)/3.2808^2</f>
        <v>0</v>
      </c>
      <c r="AB24" s="155">
        <f>SUMIF('USCG Summary'!$A$25:$A$50,A24,'USCG Summary'!$Q$25:$Q$50)/3.2808^2</f>
        <v>0</v>
      </c>
      <c r="AC24" s="155">
        <f>SUMIF('USCG Summary'!$A$25:$A$50,A24,'USCG Summary'!$T$25:$T$50)/3.2808^2</f>
        <v>0</v>
      </c>
      <c r="AD24" s="155">
        <f>SUMIF('USCG Summary'!$A$25:$A$50,A24,'USCG Summary'!$W$25:$W$50)/3.2808^2</f>
        <v>0</v>
      </c>
      <c r="AE24" s="155">
        <f>SUMIF('USCG Summary'!$A$25:$A$50,A24,'USCG Summary'!$Z$25:$Z$50)/3.2808^2</f>
        <v>0</v>
      </c>
      <c r="AF24" s="155">
        <f>SUMIF(Comp!$A$75:$A$400,Areas!A24,Comp!$F$75:$F$400)</f>
        <v>0</v>
      </c>
      <c r="AG24" s="155">
        <f>SUMIF(Comp!$A$75:$A$400,Areas!A24,Comp!$G$75:$G$400)</f>
        <v>0</v>
      </c>
      <c r="AH24" s="155"/>
      <c r="AI24" s="155">
        <f>SUMIF('Flt III'!D:D,A24,'Flt III'!F:F)/3.2808^3</f>
        <v>64.253268847993141</v>
      </c>
      <c r="AK24" s="147">
        <f>AI24</f>
        <v>64.253268847993141</v>
      </c>
    </row>
    <row r="25" spans="1:37" s="148" customFormat="1">
      <c r="A25" s="146" t="s">
        <v>1435</v>
      </c>
      <c r="B25" s="146"/>
      <c r="C25" s="147">
        <f t="shared" si="5"/>
        <v>115.57419250727231</v>
      </c>
      <c r="D25" s="147">
        <f t="shared" si="5"/>
        <v>0</v>
      </c>
      <c r="E25" s="147">
        <f t="shared" si="5"/>
        <v>0</v>
      </c>
      <c r="F25" s="147">
        <f t="shared" si="5"/>
        <v>0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S25" s="155">
        <f>SUMIF('Flt III'!D:D,A25,'Flt III'!E:E)/3.2808^2</f>
        <v>115.57419250727231</v>
      </c>
      <c r="T25" s="155">
        <f>SUMIF('Flt IIa'!A:A,A25,'Flt IIa'!E:E)/3.2808^2</f>
        <v>0</v>
      </c>
      <c r="U25" s="155">
        <f>SUMIF('OPC Des'!A:A,A25,'OPC Des'!F:F)/3.2808^2</f>
        <v>0</v>
      </c>
      <c r="V25" s="155">
        <f>SUMIF('LCS 5'!A:A,A25,'LCS 5'!E:E)</f>
        <v>0</v>
      </c>
      <c r="W25" s="155">
        <f>SUMIF('USCG Summary'!$A$25:$A$50,A25,'USCG Summary'!$F$25:$F$50)/3.2808^2</f>
        <v>0</v>
      </c>
      <c r="X25" s="155">
        <f>SUMIF('USCG Summary'!$A$25:$A$50,A25,'USCG Summary'!$I$25:$I$50)/3.2808^2</f>
        <v>0</v>
      </c>
      <c r="Y25" s="155">
        <f>SUMIF('USCG Summary'!$A$25:$A$50,A25,'USCG Summary'!$L$25:$L$50)/3.2808^2</f>
        <v>0</v>
      </c>
      <c r="Z25" s="155">
        <f>SUMIF('USCG Summary'!$A$25:$A$50,A25,'USCG Summary'!$O$25:$O$50)/3.2808^2</f>
        <v>0</v>
      </c>
      <c r="AA25" s="155">
        <f>SUMIF('USCG Summary'!$A$25:$A$50,A25,'USCG Summary'!$P$25:$P$50)/3.2808^2</f>
        <v>0</v>
      </c>
      <c r="AB25" s="155">
        <f>SUMIF('USCG Summary'!$A$25:$A$50,A25,'USCG Summary'!$Q$25:$Q$50)/3.2808^2</f>
        <v>0</v>
      </c>
      <c r="AC25" s="155">
        <f>SUMIF('USCG Summary'!$A$25:$A$50,A25,'USCG Summary'!$T$25:$T$50)/3.2808^2</f>
        <v>0</v>
      </c>
      <c r="AD25" s="155">
        <f>SUMIF('USCG Summary'!$A$25:$A$50,A25,'USCG Summary'!$W$25:$W$50)/3.2808^2</f>
        <v>0</v>
      </c>
      <c r="AE25" s="155">
        <f>SUMIF('USCG Summary'!$A$25:$A$50,A25,'USCG Summary'!$Z$25:$Z$50)/3.2808^2</f>
        <v>0</v>
      </c>
      <c r="AF25" s="155">
        <f>SUMIF(Comp!$A$75:$A$400,Areas!A25,Comp!$F$75:$F$400)</f>
        <v>0</v>
      </c>
      <c r="AG25" s="155">
        <f>SUMIF(Comp!$A$75:$A$400,Areas!A25,Comp!$G$75:$G$400)</f>
        <v>0</v>
      </c>
      <c r="AH25" s="155"/>
      <c r="AI25" s="155">
        <f>SUMIF('Flt III'!D:D,A25,'Flt III'!F:F)/3.2808^3</f>
        <v>396.620221897308</v>
      </c>
      <c r="AK25" s="147">
        <f>AI25</f>
        <v>396.620221897308</v>
      </c>
    </row>
    <row r="26" spans="1:37" s="148" customFormat="1">
      <c r="A26" s="146" t="s">
        <v>1426</v>
      </c>
      <c r="B26" s="146"/>
      <c r="C26" s="147">
        <f t="shared" si="5"/>
        <v>76.925587938924011</v>
      </c>
      <c r="D26" s="147">
        <f t="shared" si="5"/>
        <v>0</v>
      </c>
      <c r="E26" s="147">
        <f t="shared" si="5"/>
        <v>0</v>
      </c>
      <c r="F26" s="147">
        <f t="shared" si="5"/>
        <v>0</v>
      </c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S26" s="155">
        <f>SUMIF('Flt III'!D:D,A26,'Flt III'!E:E)/3.2808^2</f>
        <v>76.925587938924011</v>
      </c>
      <c r="T26" s="155">
        <f>SUMIF('Flt IIa'!A:A,A26,'Flt IIa'!E:E)/3.2808^2</f>
        <v>0</v>
      </c>
      <c r="U26" s="155">
        <f>SUMIF('OPC Des'!A:A,A26,'OPC Des'!F:F)/3.2808^2</f>
        <v>0</v>
      </c>
      <c r="V26" s="155">
        <f>SUMIF('LCS 5'!A:A,A26,'LCS 5'!E:E)</f>
        <v>0</v>
      </c>
      <c r="W26" s="155">
        <f>SUMIF('USCG Summary'!$A$25:$A$50,A26,'USCG Summary'!$F$25:$F$50)/3.2808^2</f>
        <v>0</v>
      </c>
      <c r="X26" s="155">
        <f>SUMIF('USCG Summary'!$A$25:$A$50,A26,'USCG Summary'!$I$25:$I$50)/3.2808^2</f>
        <v>0</v>
      </c>
      <c r="Y26" s="155">
        <f>SUMIF('USCG Summary'!$A$25:$A$50,A26,'USCG Summary'!$L$25:$L$50)/3.2808^2</f>
        <v>0</v>
      </c>
      <c r="Z26" s="155">
        <f>SUMIF('USCG Summary'!$A$25:$A$50,A26,'USCG Summary'!$O$25:$O$50)/3.2808^2</f>
        <v>0</v>
      </c>
      <c r="AA26" s="155">
        <f>SUMIF('USCG Summary'!$A$25:$A$50,A26,'USCG Summary'!$P$25:$P$50)/3.2808^2</f>
        <v>0</v>
      </c>
      <c r="AB26" s="155">
        <f>SUMIF('USCG Summary'!$A$25:$A$50,A26,'USCG Summary'!$Q$25:$Q$50)/3.2808^2</f>
        <v>0</v>
      </c>
      <c r="AC26" s="155">
        <f>SUMIF('USCG Summary'!$A$25:$A$50,A26,'USCG Summary'!$T$25:$T$50)/3.2808^2</f>
        <v>0</v>
      </c>
      <c r="AD26" s="155">
        <f>SUMIF('USCG Summary'!$A$25:$A$50,A26,'USCG Summary'!$W$25:$W$50)/3.2808^2</f>
        <v>0</v>
      </c>
      <c r="AE26" s="155">
        <f>SUMIF('USCG Summary'!$A$25:$A$50,A26,'USCG Summary'!$Z$25:$Z$50)/3.2808^2</f>
        <v>0</v>
      </c>
      <c r="AF26" s="155">
        <f>SUMIF(Comp!$A$75:$A$400,Areas!A26,Comp!$F$75:$F$400)</f>
        <v>0</v>
      </c>
      <c r="AG26" s="155">
        <f>SUMIF(Comp!$A$75:$A$400,Areas!A26,Comp!$G$75:$G$400)</f>
        <v>0</v>
      </c>
      <c r="AH26" s="155"/>
      <c r="AI26" s="155">
        <f>SUMIF('Flt III'!D:D,A26,'Flt III'!F:F)/3.2808^3</f>
        <v>261.31739309355692</v>
      </c>
      <c r="AK26" s="147">
        <f>AI26</f>
        <v>261.31739309355692</v>
      </c>
    </row>
    <row r="27" spans="1:37" s="148" customFormat="1">
      <c r="A27" s="146">
        <v>1.1211502</v>
      </c>
      <c r="B27" s="146"/>
      <c r="C27" s="147">
        <f t="shared" si="5"/>
        <v>40.78542645554063</v>
      </c>
      <c r="D27" s="147">
        <f t="shared" si="5"/>
        <v>0</v>
      </c>
      <c r="E27" s="147">
        <f t="shared" si="5"/>
        <v>0</v>
      </c>
      <c r="F27" s="147">
        <f t="shared" si="5"/>
        <v>0</v>
      </c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S27" s="155">
        <f>SUMIF('Flt III'!D:D,A27,'Flt III'!E:E)/3.2808^2</f>
        <v>40.78542645554063</v>
      </c>
      <c r="T27" s="155">
        <f>SUMIF('Flt IIa'!A:A,A27,'Flt IIa'!E:E)/3.2808^2</f>
        <v>0</v>
      </c>
      <c r="U27" s="155">
        <f>SUMIF('OPC Des'!A:A,A27,'OPC Des'!F:F)/3.2808^2</f>
        <v>0</v>
      </c>
      <c r="V27" s="155">
        <f>SUMIF('LCS 5'!A:A,A27,'LCS 5'!E:E)</f>
        <v>0</v>
      </c>
      <c r="W27" s="155">
        <f>SUMIF('USCG Summary'!$A$25:$A$50,A27,'USCG Summary'!$F$25:$F$50)/3.2808^2</f>
        <v>0</v>
      </c>
      <c r="X27" s="155">
        <f>SUMIF('USCG Summary'!$A$25:$A$50,A27,'USCG Summary'!$I$25:$I$50)/3.2808^2</f>
        <v>0</v>
      </c>
      <c r="Y27" s="155">
        <f>SUMIF('USCG Summary'!$A$25:$A$50,A27,'USCG Summary'!$L$25:$L$50)/3.2808^2</f>
        <v>0</v>
      </c>
      <c r="Z27" s="155">
        <f>SUMIF('USCG Summary'!$A$25:$A$50,A27,'USCG Summary'!$O$25:$O$50)/3.2808^2</f>
        <v>0</v>
      </c>
      <c r="AA27" s="155">
        <f>SUMIF('USCG Summary'!$A$25:$A$50,A27,'USCG Summary'!$P$25:$P$50)/3.2808^2</f>
        <v>0</v>
      </c>
      <c r="AB27" s="155">
        <f>SUMIF('USCG Summary'!$A$25:$A$50,A27,'USCG Summary'!$Q$25:$Q$50)/3.2808^2</f>
        <v>0</v>
      </c>
      <c r="AC27" s="155">
        <f>SUMIF('USCG Summary'!$A$25:$A$50,A27,'USCG Summary'!$T$25:$T$50)/3.2808^2</f>
        <v>0</v>
      </c>
      <c r="AD27" s="155">
        <f>SUMIF('USCG Summary'!$A$25:$A$50,A27,'USCG Summary'!$W$25:$W$50)/3.2808^2</f>
        <v>0</v>
      </c>
      <c r="AE27" s="155">
        <f>SUMIF('USCG Summary'!$A$25:$A$50,A27,'USCG Summary'!$Z$25:$Z$50)/3.2808^2</f>
        <v>0</v>
      </c>
      <c r="AF27" s="155">
        <f>SUMIF(Comp!$A$75:$A$400,Areas!A27,Comp!$F$75:$F$400)</f>
        <v>0</v>
      </c>
      <c r="AG27" s="155">
        <f>SUMIF(Comp!$A$75:$A$400,Areas!A27,Comp!$G$75:$G$400)</f>
        <v>0</v>
      </c>
      <c r="AH27" s="155"/>
      <c r="AI27" s="155">
        <f>SUMIF('Flt III'!D:D,A27,'Flt III'!F:F)/3.2808^3</f>
        <v>116.66966401662923</v>
      </c>
      <c r="AK27" s="147">
        <f>AI27</f>
        <v>116.66966401662923</v>
      </c>
    </row>
    <row r="28" spans="1:37" s="132" customFormat="1">
      <c r="A28" s="142">
        <v>1.1220000000000001</v>
      </c>
      <c r="B28" s="142" t="str">
        <f>Comp!B84</f>
        <v>UNDERWATER SURV (SONAR)</v>
      </c>
      <c r="C28" s="143">
        <f>SUM(C29)</f>
        <v>172.43223576647702</v>
      </c>
      <c r="D28" s="143">
        <f>T28</f>
        <v>198.25990901167131</v>
      </c>
      <c r="E28" s="143">
        <f>U28</f>
        <v>0</v>
      </c>
      <c r="F28" s="143">
        <f>V28</f>
        <v>0</v>
      </c>
      <c r="G28" s="143"/>
      <c r="H28" s="143"/>
      <c r="I28" s="143"/>
      <c r="J28" s="143"/>
      <c r="K28" s="143"/>
      <c r="L28" s="143"/>
      <c r="M28" s="143"/>
      <c r="N28" s="143"/>
      <c r="O28" s="143"/>
      <c r="P28" s="143">
        <f>AF28</f>
        <v>0</v>
      </c>
      <c r="Q28" s="143">
        <f>AG28</f>
        <v>0</v>
      </c>
      <c r="S28" s="154">
        <f>SUMIF('Flt III'!D:D,A28,'Flt III'!E:E)/3.2808^2</f>
        <v>0</v>
      </c>
      <c r="T28" s="154">
        <f>SUMIF('Flt IIa'!A:A,A28,'Flt IIa'!E:E)/3.2808^2</f>
        <v>198.25990901167131</v>
      </c>
      <c r="U28" s="154">
        <f>SUMIF('OPC Des'!A:A,A28,'OPC Des'!F:F)/3.2808^2</f>
        <v>0</v>
      </c>
      <c r="V28" s="154">
        <f>SUMIF('LCS 5'!A:A,A28,'LCS 5'!E:E)</f>
        <v>0</v>
      </c>
      <c r="W28" s="154">
        <f>SUMIF('USCG Summary'!$A$25:$A$50,A28,'USCG Summary'!$F$25:$F$50)/3.2808^2</f>
        <v>0</v>
      </c>
      <c r="X28" s="154">
        <f>SUMIF('USCG Summary'!$A$25:$A$50,A28,'USCG Summary'!$I$25:$I$50)/3.2808^2</f>
        <v>0</v>
      </c>
      <c r="Y28" s="154">
        <f>SUMIF('USCG Summary'!$A$25:$A$50,A28,'USCG Summary'!$L$25:$L$50)/3.2808^2</f>
        <v>0</v>
      </c>
      <c r="Z28" s="154">
        <f>SUMIF('USCG Summary'!$A$25:$A$50,A28,'USCG Summary'!$O$25:$O$50)/3.2808^2</f>
        <v>0</v>
      </c>
      <c r="AA28" s="154">
        <f>SUMIF('USCG Summary'!$A$25:$A$50,A28,'USCG Summary'!$P$25:$P$50)/3.2808^2</f>
        <v>0</v>
      </c>
      <c r="AB28" s="154">
        <f>SUMIF('USCG Summary'!$A$25:$A$50,A28,'USCG Summary'!$Q$25:$Q$50)/3.2808^2</f>
        <v>0</v>
      </c>
      <c r="AC28" s="154">
        <f>SUMIF('USCG Summary'!$A$25:$A$50,A28,'USCG Summary'!$T$25:$T$50)/3.2808^2</f>
        <v>0</v>
      </c>
      <c r="AD28" s="154">
        <f>SUMIF('USCG Summary'!$A$25:$A$50,A28,'USCG Summary'!$W$25:$W$50)/3.2808^2</f>
        <v>0</v>
      </c>
      <c r="AE28" s="154">
        <f>SUMIF('USCG Summary'!$A$25:$A$50,A28,'USCG Summary'!$Z$25:$Z$50)/3.2808^2</f>
        <v>0</v>
      </c>
      <c r="AF28" s="154">
        <f>SUMIF(Comp!$A$75:$A$400,Areas!A28,Comp!$F$75:$F$400)</f>
        <v>0</v>
      </c>
      <c r="AG28" s="154">
        <f>SUMIF(Comp!$A$75:$A$400,Areas!A28,Comp!$G$75:$G$400)</f>
        <v>0</v>
      </c>
      <c r="AH28" s="154"/>
      <c r="AI28" s="154">
        <f>SUMIF('Flt III'!D:D,A28,'Flt III'!F:F)/3.2808^3</f>
        <v>0</v>
      </c>
      <c r="AK28" s="143">
        <f>SUM(AK29)</f>
        <v>652.64217150273146</v>
      </c>
    </row>
    <row r="29" spans="1:37" s="141" customFormat="1">
      <c r="A29" s="144" t="s">
        <v>1421</v>
      </c>
      <c r="B29" s="144"/>
      <c r="C29" s="145">
        <f>SUM(C30:C36)+S29</f>
        <v>172.43223576647702</v>
      </c>
      <c r="D29" s="145">
        <f>SUM(D30:D36)+T29</f>
        <v>0</v>
      </c>
      <c r="E29" s="145">
        <f>SUM(E30:E36)+U29</f>
        <v>20.62497647637818</v>
      </c>
      <c r="F29" s="145">
        <f>SUM(F30:F36)+V29</f>
        <v>0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S29" s="156">
        <f>SUMIF('Flt III'!D:D,A29,'Flt III'!E:E)/3.2808^2</f>
        <v>5.2956020682592619</v>
      </c>
      <c r="T29" s="156">
        <f>SUMIF('Flt IIa'!A:A,A29,'Flt IIa'!E:E)/3.2808^2</f>
        <v>0</v>
      </c>
      <c r="U29" s="156">
        <f>SUMIF('OPC Des'!A:A,A29,'OPC Des'!F:F)/3.2808^2</f>
        <v>0</v>
      </c>
      <c r="V29" s="156">
        <f>SUMIF('LCS 5'!A:A,A29,'LCS 5'!E:E)</f>
        <v>0</v>
      </c>
      <c r="W29" s="156">
        <f>SUMIF('USCG Summary'!$A$25:$A$50,A29,'USCG Summary'!$F$25:$F$50)/3.2808^2</f>
        <v>0</v>
      </c>
      <c r="X29" s="156">
        <f>SUMIF('USCG Summary'!$A$25:$A$50,A29,'USCG Summary'!$I$25:$I$50)/3.2808^2</f>
        <v>0</v>
      </c>
      <c r="Y29" s="156">
        <f>SUMIF('USCG Summary'!$A$25:$A$50,A29,'USCG Summary'!$L$25:$L$50)/3.2808^2</f>
        <v>0</v>
      </c>
      <c r="Z29" s="156">
        <f>SUMIF('USCG Summary'!$A$25:$A$50,A29,'USCG Summary'!$O$25:$O$50)/3.2808^2</f>
        <v>0</v>
      </c>
      <c r="AA29" s="156">
        <f>SUMIF('USCG Summary'!$A$25:$A$50,A29,'USCG Summary'!$P$25:$P$50)/3.2808^2</f>
        <v>0</v>
      </c>
      <c r="AB29" s="156">
        <f>SUMIF('USCG Summary'!$A$25:$A$50,A29,'USCG Summary'!$Q$25:$Q$50)/3.2808^2</f>
        <v>0</v>
      </c>
      <c r="AC29" s="156">
        <f>SUMIF('USCG Summary'!$A$25:$A$50,A29,'USCG Summary'!$T$25:$T$50)/3.2808^2</f>
        <v>0</v>
      </c>
      <c r="AD29" s="156">
        <f>SUMIF('USCG Summary'!$A$25:$A$50,A29,'USCG Summary'!$W$25:$W$50)/3.2808^2</f>
        <v>0</v>
      </c>
      <c r="AE29" s="156">
        <f>SUMIF('USCG Summary'!$A$25:$A$50,A29,'USCG Summary'!$Z$25:$Z$50)/3.2808^2</f>
        <v>0</v>
      </c>
      <c r="AF29" s="156">
        <f>SUMIF(Comp!$A$75:$A$400,Areas!A29,Comp!$F$75:$F$400)</f>
        <v>0</v>
      </c>
      <c r="AG29" s="156">
        <f>SUMIF(Comp!$A$75:$A$400,Areas!A29,Comp!$G$75:$G$400)</f>
        <v>0</v>
      </c>
      <c r="AH29" s="156"/>
      <c r="AI29" s="156">
        <f>SUMIF('Flt III'!D:D,A29,'Flt III'!F:F)/3.2808^3</f>
        <v>1.9256158138666961</v>
      </c>
      <c r="AK29" s="145">
        <f>SUM(AK30:AK36)+AI29</f>
        <v>652.64217150273146</v>
      </c>
    </row>
    <row r="30" spans="1:37" s="148" customFormat="1">
      <c r="A30" s="146">
        <v>1.122101</v>
      </c>
      <c r="B30" s="146"/>
      <c r="C30" s="147">
        <f t="shared" ref="C30:F36" si="6">S30</f>
        <v>106.19075726351467</v>
      </c>
      <c r="D30" s="147">
        <f t="shared" si="6"/>
        <v>0</v>
      </c>
      <c r="E30" s="147">
        <f t="shared" si="6"/>
        <v>0</v>
      </c>
      <c r="F30" s="147">
        <f t="shared" si="6"/>
        <v>0</v>
      </c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S30" s="155">
        <f>SUMIF('Flt III'!D:D,A30,'Flt III'!E:E)/3.2808^2</f>
        <v>106.19075726351467</v>
      </c>
      <c r="T30" s="155">
        <f>SUMIF('Flt IIa'!A:A,A30,'Flt IIa'!E:E)/3.2808^2</f>
        <v>0</v>
      </c>
      <c r="U30" s="155">
        <f>SUMIF('OPC Des'!A:A,A30,'OPC Des'!F:F)/3.2808^2</f>
        <v>0</v>
      </c>
      <c r="V30" s="155">
        <f>SUMIF('LCS 5'!A:A,A30,'LCS 5'!E:E)</f>
        <v>0</v>
      </c>
      <c r="W30" s="155">
        <f>SUMIF('USCG Summary'!$A$25:$A$50,A30,'USCG Summary'!$F$25:$F$50)/3.2808^2</f>
        <v>0</v>
      </c>
      <c r="X30" s="155">
        <f>SUMIF('USCG Summary'!$A$25:$A$50,A30,'USCG Summary'!$I$25:$I$50)/3.2808^2</f>
        <v>0</v>
      </c>
      <c r="Y30" s="155">
        <f>SUMIF('USCG Summary'!$A$25:$A$50,A30,'USCG Summary'!$L$25:$L$50)/3.2808^2</f>
        <v>0</v>
      </c>
      <c r="Z30" s="155">
        <f>SUMIF('USCG Summary'!$A$25:$A$50,A30,'USCG Summary'!$O$25:$O$50)/3.2808^2</f>
        <v>0</v>
      </c>
      <c r="AA30" s="155">
        <f>SUMIF('USCG Summary'!$A$25:$A$50,A30,'USCG Summary'!$P$25:$P$50)/3.2808^2</f>
        <v>0</v>
      </c>
      <c r="AB30" s="155">
        <f>SUMIF('USCG Summary'!$A$25:$A$50,A30,'USCG Summary'!$Q$25:$Q$50)/3.2808^2</f>
        <v>0</v>
      </c>
      <c r="AC30" s="155">
        <f>SUMIF('USCG Summary'!$A$25:$A$50,A30,'USCG Summary'!$T$25:$T$50)/3.2808^2</f>
        <v>0</v>
      </c>
      <c r="AD30" s="155">
        <f>SUMIF('USCG Summary'!$A$25:$A$50,A30,'USCG Summary'!$W$25:$W$50)/3.2808^2</f>
        <v>0</v>
      </c>
      <c r="AE30" s="155">
        <f>SUMIF('USCG Summary'!$A$25:$A$50,A30,'USCG Summary'!$Z$25:$Z$50)/3.2808^2</f>
        <v>0</v>
      </c>
      <c r="AF30" s="155">
        <f>SUMIF(Comp!$A$75:$A$400,Areas!A30,Comp!$F$75:$F$400)</f>
        <v>0</v>
      </c>
      <c r="AG30" s="155">
        <f>SUMIF(Comp!$A$75:$A$400,Areas!A30,Comp!$G$75:$G$400)</f>
        <v>0</v>
      </c>
      <c r="AH30" s="155"/>
      <c r="AI30" s="155">
        <f>SUMIF('Flt III'!D:D,A30,'Flt III'!F:F)/3.2808^3</f>
        <v>346.5825286163896</v>
      </c>
      <c r="AK30" s="147">
        <f t="shared" ref="AK30:AK36" si="7">AI30</f>
        <v>346.5825286163896</v>
      </c>
    </row>
    <row r="31" spans="1:37" s="148" customFormat="1">
      <c r="A31" s="146" t="s">
        <v>1411</v>
      </c>
      <c r="B31" s="146"/>
      <c r="C31" s="147">
        <f t="shared" si="6"/>
        <v>0</v>
      </c>
      <c r="D31" s="147">
        <f t="shared" si="6"/>
        <v>0</v>
      </c>
      <c r="E31" s="147">
        <f t="shared" si="6"/>
        <v>20.62497647637818</v>
      </c>
      <c r="F31" s="147">
        <f t="shared" si="6"/>
        <v>0</v>
      </c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S31" s="155">
        <f>SUMIF('Flt III'!D:D,A31,'Flt III'!E:E)/3.2808^2</f>
        <v>0</v>
      </c>
      <c r="T31" s="155">
        <f>SUMIF('Flt IIa'!A:A,A31,'Flt IIa'!E:E)/3.2808^2</f>
        <v>0</v>
      </c>
      <c r="U31" s="155">
        <f>SUMIF('OPC Des'!A:A,A31,'OPC Des'!F:F)/3.2808^2</f>
        <v>20.62497647637818</v>
      </c>
      <c r="V31" s="155">
        <f>SUMIF('LCS 5'!A:A,A31,'LCS 5'!E:E)</f>
        <v>0</v>
      </c>
      <c r="W31" s="155">
        <f>SUMIF('USCG Summary'!$A$25:$A$50,A31,'USCG Summary'!$F$25:$F$50)/3.2808^2</f>
        <v>0</v>
      </c>
      <c r="X31" s="155">
        <f>SUMIF('USCG Summary'!$A$25:$A$50,A31,'USCG Summary'!$I$25:$I$50)/3.2808^2</f>
        <v>0</v>
      </c>
      <c r="Y31" s="155">
        <f>SUMIF('USCG Summary'!$A$25:$A$50,A31,'USCG Summary'!$L$25:$L$50)/3.2808^2</f>
        <v>0</v>
      </c>
      <c r="Z31" s="155">
        <f>SUMIF('USCG Summary'!$A$25:$A$50,A31,'USCG Summary'!$O$25:$O$50)/3.2808^2</f>
        <v>0</v>
      </c>
      <c r="AA31" s="155">
        <f>SUMIF('USCG Summary'!$A$25:$A$50,A31,'USCG Summary'!$P$25:$P$50)/3.2808^2</f>
        <v>0</v>
      </c>
      <c r="AB31" s="155">
        <f>SUMIF('USCG Summary'!$A$25:$A$50,A31,'USCG Summary'!$Q$25:$Q$50)/3.2808^2</f>
        <v>0</v>
      </c>
      <c r="AC31" s="155">
        <f>SUMIF('USCG Summary'!$A$25:$A$50,A31,'USCG Summary'!$T$25:$T$50)/3.2808^2</f>
        <v>0</v>
      </c>
      <c r="AD31" s="155">
        <f>SUMIF('USCG Summary'!$A$25:$A$50,A31,'USCG Summary'!$W$25:$W$50)/3.2808^2</f>
        <v>0</v>
      </c>
      <c r="AE31" s="155">
        <f>SUMIF('USCG Summary'!$A$25:$A$50,A31,'USCG Summary'!$Z$25:$Z$50)/3.2808^2</f>
        <v>0</v>
      </c>
      <c r="AF31" s="155">
        <f>SUMIF(Comp!$A$75:$A$400,Areas!A31,Comp!$F$75:$F$400)</f>
        <v>0</v>
      </c>
      <c r="AG31" s="155">
        <f>SUMIF(Comp!$A$75:$A$400,Areas!A31,Comp!$G$75:$G$400)</f>
        <v>0</v>
      </c>
      <c r="AH31" s="155"/>
      <c r="AI31" s="155">
        <f>SUMIF('Flt III'!D:D,A31,'Flt III'!F:F)/3.2808^3</f>
        <v>98.064817109123069</v>
      </c>
      <c r="AK31" s="147">
        <f t="shared" si="7"/>
        <v>98.064817109123069</v>
      </c>
    </row>
    <row r="32" spans="1:37" s="148" customFormat="1">
      <c r="A32" s="146" t="s">
        <v>1406</v>
      </c>
      <c r="B32" s="146"/>
      <c r="C32" s="147">
        <f t="shared" si="6"/>
        <v>0</v>
      </c>
      <c r="D32" s="147">
        <f t="shared" si="6"/>
        <v>0</v>
      </c>
      <c r="E32" s="147">
        <f t="shared" si="6"/>
        <v>0</v>
      </c>
      <c r="F32" s="147">
        <f t="shared" si="6"/>
        <v>0</v>
      </c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S32" s="155">
        <f>SUMIF('Flt III'!D:D,A32,'Flt III'!E:E)/3.2808^2</f>
        <v>0</v>
      </c>
      <c r="T32" s="155">
        <f>SUMIF('Flt IIa'!A:A,A32,'Flt IIa'!E:E)/3.2808^2</f>
        <v>0</v>
      </c>
      <c r="U32" s="155">
        <f>SUMIF('OPC Des'!A:A,A32,'OPC Des'!F:F)/3.2808^2</f>
        <v>0</v>
      </c>
      <c r="V32" s="155">
        <f>SUMIF('LCS 5'!A:A,A32,'LCS 5'!E:E)</f>
        <v>0</v>
      </c>
      <c r="W32" s="155">
        <f>SUMIF('USCG Summary'!$A$25:$A$50,A32,'USCG Summary'!$F$25:$F$50)/3.2808^2</f>
        <v>0</v>
      </c>
      <c r="X32" s="155">
        <f>SUMIF('USCG Summary'!$A$25:$A$50,A32,'USCG Summary'!$I$25:$I$50)/3.2808^2</f>
        <v>0</v>
      </c>
      <c r="Y32" s="155">
        <f>SUMIF('USCG Summary'!$A$25:$A$50,A32,'USCG Summary'!$L$25:$L$50)/3.2808^2</f>
        <v>0</v>
      </c>
      <c r="Z32" s="155">
        <f>SUMIF('USCG Summary'!$A$25:$A$50,A32,'USCG Summary'!$O$25:$O$50)/3.2808^2</f>
        <v>0</v>
      </c>
      <c r="AA32" s="155">
        <f>SUMIF('USCG Summary'!$A$25:$A$50,A32,'USCG Summary'!$P$25:$P$50)/3.2808^2</f>
        <v>0</v>
      </c>
      <c r="AB32" s="155">
        <f>SUMIF('USCG Summary'!$A$25:$A$50,A32,'USCG Summary'!$Q$25:$Q$50)/3.2808^2</f>
        <v>0</v>
      </c>
      <c r="AC32" s="155">
        <f>SUMIF('USCG Summary'!$A$25:$A$50,A32,'USCG Summary'!$T$25:$T$50)/3.2808^2</f>
        <v>0</v>
      </c>
      <c r="AD32" s="155">
        <f>SUMIF('USCG Summary'!$A$25:$A$50,A32,'USCG Summary'!$W$25:$W$50)/3.2808^2</f>
        <v>0</v>
      </c>
      <c r="AE32" s="155">
        <f>SUMIF('USCG Summary'!$A$25:$A$50,A32,'USCG Summary'!$Z$25:$Z$50)/3.2808^2</f>
        <v>0</v>
      </c>
      <c r="AF32" s="155">
        <f>SUMIF(Comp!$A$75:$A$400,Areas!A32,Comp!$F$75:$F$400)</f>
        <v>0</v>
      </c>
      <c r="AG32" s="155">
        <f>SUMIF(Comp!$A$75:$A$400,Areas!A32,Comp!$G$75:$G$400)</f>
        <v>0</v>
      </c>
      <c r="AH32" s="155"/>
      <c r="AI32" s="155">
        <f>SUMIF('Flt III'!D:D,A32,'Flt III'!F:F)/3.2808^3</f>
        <v>13.337721298988438</v>
      </c>
      <c r="AK32" s="147">
        <f t="shared" si="7"/>
        <v>13.337721298988438</v>
      </c>
    </row>
    <row r="33" spans="1:37" s="148" customFormat="1">
      <c r="A33" s="146" t="s">
        <v>1403</v>
      </c>
      <c r="B33" s="146"/>
      <c r="C33" s="147">
        <f t="shared" si="6"/>
        <v>37.440835675587415</v>
      </c>
      <c r="D33" s="147">
        <f t="shared" si="6"/>
        <v>0</v>
      </c>
      <c r="E33" s="147">
        <f t="shared" si="6"/>
        <v>0</v>
      </c>
      <c r="F33" s="147">
        <f t="shared" si="6"/>
        <v>0</v>
      </c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S33" s="155">
        <f>SUMIF('Flt III'!D:D,A33,'Flt III'!E:E)/3.2808^2</f>
        <v>37.440835675587415</v>
      </c>
      <c r="T33" s="155">
        <f>SUMIF('Flt IIa'!A:A,A33,'Flt IIa'!E:E)/3.2808^2</f>
        <v>0</v>
      </c>
      <c r="U33" s="155">
        <f>SUMIF('OPC Des'!A:A,A33,'OPC Des'!F:F)/3.2808^2</f>
        <v>0</v>
      </c>
      <c r="V33" s="155">
        <f>SUMIF('LCS 5'!A:A,A33,'LCS 5'!E:E)</f>
        <v>0</v>
      </c>
      <c r="W33" s="155">
        <f>SUMIF('USCG Summary'!$A$25:$A$50,A33,'USCG Summary'!$F$25:$F$50)/3.2808^2</f>
        <v>0</v>
      </c>
      <c r="X33" s="155">
        <f>SUMIF('USCG Summary'!$A$25:$A$50,A33,'USCG Summary'!$I$25:$I$50)/3.2808^2</f>
        <v>0</v>
      </c>
      <c r="Y33" s="155">
        <f>SUMIF('USCG Summary'!$A$25:$A$50,A33,'USCG Summary'!$L$25:$L$50)/3.2808^2</f>
        <v>0</v>
      </c>
      <c r="Z33" s="155">
        <f>SUMIF('USCG Summary'!$A$25:$A$50,A33,'USCG Summary'!$O$25:$O$50)/3.2808^2</f>
        <v>0</v>
      </c>
      <c r="AA33" s="155">
        <f>SUMIF('USCG Summary'!$A$25:$A$50,A33,'USCG Summary'!$P$25:$P$50)/3.2808^2</f>
        <v>0</v>
      </c>
      <c r="AB33" s="155">
        <f>SUMIF('USCG Summary'!$A$25:$A$50,A33,'USCG Summary'!$Q$25:$Q$50)/3.2808^2</f>
        <v>0</v>
      </c>
      <c r="AC33" s="155">
        <f>SUMIF('USCG Summary'!$A$25:$A$50,A33,'USCG Summary'!$T$25:$T$50)/3.2808^2</f>
        <v>0</v>
      </c>
      <c r="AD33" s="155">
        <f>SUMIF('USCG Summary'!$A$25:$A$50,A33,'USCG Summary'!$W$25:$W$50)/3.2808^2</f>
        <v>0</v>
      </c>
      <c r="AE33" s="155">
        <f>SUMIF('USCG Summary'!$A$25:$A$50,A33,'USCG Summary'!$Z$25:$Z$50)/3.2808^2</f>
        <v>0</v>
      </c>
      <c r="AF33" s="155">
        <f>SUMIF(Comp!$A$75:$A$400,Areas!A33,Comp!$F$75:$F$400)</f>
        <v>0</v>
      </c>
      <c r="AG33" s="155">
        <f>SUMIF(Comp!$A$75:$A$400,Areas!A33,Comp!$G$75:$G$400)</f>
        <v>0</v>
      </c>
      <c r="AH33" s="155"/>
      <c r="AI33" s="155">
        <f>SUMIF('Flt III'!D:D,A33,'Flt III'!F:F)/3.2808^3</f>
        <v>121.42706779206459</v>
      </c>
      <c r="AK33" s="147">
        <f t="shared" si="7"/>
        <v>121.42706779206459</v>
      </c>
    </row>
    <row r="34" spans="1:37" s="148" customFormat="1">
      <c r="A34" s="146" t="s">
        <v>1400</v>
      </c>
      <c r="B34" s="146"/>
      <c r="C34" s="147">
        <f t="shared" si="6"/>
        <v>13.471268419256017</v>
      </c>
      <c r="D34" s="147">
        <f t="shared" si="6"/>
        <v>0</v>
      </c>
      <c r="E34" s="147">
        <f t="shared" si="6"/>
        <v>0</v>
      </c>
      <c r="F34" s="147">
        <f t="shared" si="6"/>
        <v>0</v>
      </c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S34" s="155">
        <f>SUMIF('Flt III'!D:D,A34,'Flt III'!E:E)/3.2808^2</f>
        <v>13.471268419256017</v>
      </c>
      <c r="T34" s="155">
        <f>SUMIF('Flt IIa'!A:A,A34,'Flt IIa'!E:E)/3.2808^2</f>
        <v>0</v>
      </c>
      <c r="U34" s="155">
        <f>SUMIF('OPC Des'!A:A,A34,'OPC Des'!F:F)/3.2808^2</f>
        <v>0</v>
      </c>
      <c r="V34" s="155">
        <f>SUMIF('LCS 5'!A:A,A34,'LCS 5'!E:E)</f>
        <v>0</v>
      </c>
      <c r="W34" s="155">
        <f>SUMIF('USCG Summary'!$A$25:$A$50,A34,'USCG Summary'!$F$25:$F$50)/3.2808^2</f>
        <v>0</v>
      </c>
      <c r="X34" s="155">
        <f>SUMIF('USCG Summary'!$A$25:$A$50,A34,'USCG Summary'!$I$25:$I$50)/3.2808^2</f>
        <v>0</v>
      </c>
      <c r="Y34" s="155">
        <f>SUMIF('USCG Summary'!$A$25:$A$50,A34,'USCG Summary'!$L$25:$L$50)/3.2808^2</f>
        <v>0</v>
      </c>
      <c r="Z34" s="155">
        <f>SUMIF('USCG Summary'!$A$25:$A$50,A34,'USCG Summary'!$O$25:$O$50)/3.2808^2</f>
        <v>0</v>
      </c>
      <c r="AA34" s="155">
        <f>SUMIF('USCG Summary'!$A$25:$A$50,A34,'USCG Summary'!$P$25:$P$50)/3.2808^2</f>
        <v>0</v>
      </c>
      <c r="AB34" s="155">
        <f>SUMIF('USCG Summary'!$A$25:$A$50,A34,'USCG Summary'!$Q$25:$Q$50)/3.2808^2</f>
        <v>0</v>
      </c>
      <c r="AC34" s="155">
        <f>SUMIF('USCG Summary'!$A$25:$A$50,A34,'USCG Summary'!$T$25:$T$50)/3.2808^2</f>
        <v>0</v>
      </c>
      <c r="AD34" s="155">
        <f>SUMIF('USCG Summary'!$A$25:$A$50,A34,'USCG Summary'!$W$25:$W$50)/3.2808^2</f>
        <v>0</v>
      </c>
      <c r="AE34" s="155">
        <f>SUMIF('USCG Summary'!$A$25:$A$50,A34,'USCG Summary'!$Z$25:$Z$50)/3.2808^2</f>
        <v>0</v>
      </c>
      <c r="AF34" s="155">
        <f>SUMIF(Comp!$A$75:$A$400,Areas!A34,Comp!$F$75:$F$400)</f>
        <v>0</v>
      </c>
      <c r="AG34" s="155">
        <f>SUMIF(Comp!$A$75:$A$400,Areas!A34,Comp!$G$75:$G$400)</f>
        <v>0</v>
      </c>
      <c r="AH34" s="155"/>
      <c r="AI34" s="155">
        <f>SUMIF('Flt III'!D:D,A34,'Flt III'!F:F)/3.2808^3</f>
        <v>33.811548261129929</v>
      </c>
      <c r="AK34" s="147">
        <f t="shared" si="7"/>
        <v>33.811548261129929</v>
      </c>
    </row>
    <row r="35" spans="1:37" s="148" customFormat="1">
      <c r="A35" s="146" t="s">
        <v>1397</v>
      </c>
      <c r="B35" s="146"/>
      <c r="C35" s="147">
        <f t="shared" si="6"/>
        <v>0</v>
      </c>
      <c r="D35" s="147">
        <f t="shared" si="6"/>
        <v>0</v>
      </c>
      <c r="E35" s="147">
        <f t="shared" si="6"/>
        <v>0</v>
      </c>
      <c r="F35" s="147">
        <f t="shared" si="6"/>
        <v>0</v>
      </c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S35" s="155">
        <f>SUMIF('Flt III'!D:D,A35,'Flt III'!E:E)/3.2808^2</f>
        <v>0</v>
      </c>
      <c r="T35" s="155">
        <f>SUMIF('Flt IIa'!A:A,A35,'Flt IIa'!E:E)/3.2808^2</f>
        <v>0</v>
      </c>
      <c r="U35" s="155">
        <f>SUMIF('OPC Des'!A:A,A35,'OPC Des'!F:F)/3.2808^2</f>
        <v>0</v>
      </c>
      <c r="V35" s="155">
        <f>SUMIF('LCS 5'!A:A,A35,'LCS 5'!E:E)</f>
        <v>0</v>
      </c>
      <c r="W35" s="155">
        <f>SUMIF('USCG Summary'!$A$25:$A$50,A35,'USCG Summary'!$F$25:$F$50)/3.2808^2</f>
        <v>0</v>
      </c>
      <c r="X35" s="155">
        <f>SUMIF('USCG Summary'!$A$25:$A$50,A35,'USCG Summary'!$I$25:$I$50)/3.2808^2</f>
        <v>0</v>
      </c>
      <c r="Y35" s="155">
        <f>SUMIF('USCG Summary'!$A$25:$A$50,A35,'USCG Summary'!$L$25:$L$50)/3.2808^2</f>
        <v>0</v>
      </c>
      <c r="Z35" s="155">
        <f>SUMIF('USCG Summary'!$A$25:$A$50,A35,'USCG Summary'!$O$25:$O$50)/3.2808^2</f>
        <v>0</v>
      </c>
      <c r="AA35" s="155">
        <f>SUMIF('USCG Summary'!$A$25:$A$50,A35,'USCG Summary'!$P$25:$P$50)/3.2808^2</f>
        <v>0</v>
      </c>
      <c r="AB35" s="155">
        <f>SUMIF('USCG Summary'!$A$25:$A$50,A35,'USCG Summary'!$Q$25:$Q$50)/3.2808^2</f>
        <v>0</v>
      </c>
      <c r="AC35" s="155">
        <f>SUMIF('USCG Summary'!$A$25:$A$50,A35,'USCG Summary'!$T$25:$T$50)/3.2808^2</f>
        <v>0</v>
      </c>
      <c r="AD35" s="155">
        <f>SUMIF('USCG Summary'!$A$25:$A$50,A35,'USCG Summary'!$W$25:$W$50)/3.2808^2</f>
        <v>0</v>
      </c>
      <c r="AE35" s="155">
        <f>SUMIF('USCG Summary'!$A$25:$A$50,A35,'USCG Summary'!$Z$25:$Z$50)/3.2808^2</f>
        <v>0</v>
      </c>
      <c r="AF35" s="155">
        <f>SUMIF(Comp!$A$75:$A$400,Areas!A35,Comp!$F$75:$F$400)</f>
        <v>0</v>
      </c>
      <c r="AG35" s="155">
        <f>SUMIF(Comp!$A$75:$A$400,Areas!A35,Comp!$G$75:$G$400)</f>
        <v>0</v>
      </c>
      <c r="AH35" s="155"/>
      <c r="AI35" s="155">
        <f>SUMIF('Flt III'!D:D,A35,'Flt III'!F:F)/3.2808^3</f>
        <v>2.0672052119451294</v>
      </c>
      <c r="AK35" s="147">
        <f t="shared" si="7"/>
        <v>2.0672052119451294</v>
      </c>
    </row>
    <row r="36" spans="1:37" s="148" customFormat="1">
      <c r="A36" s="146" t="s">
        <v>1394</v>
      </c>
      <c r="B36" s="146"/>
      <c r="C36" s="147">
        <f t="shared" si="6"/>
        <v>10.033772339859654</v>
      </c>
      <c r="D36" s="147">
        <f t="shared" si="6"/>
        <v>0</v>
      </c>
      <c r="E36" s="147">
        <f t="shared" si="6"/>
        <v>0</v>
      </c>
      <c r="F36" s="147">
        <f t="shared" si="6"/>
        <v>0</v>
      </c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S36" s="155">
        <f>SUMIF('Flt III'!D:D,A36,'Flt III'!E:E)/3.2808^2</f>
        <v>10.033772339859654</v>
      </c>
      <c r="T36" s="155">
        <f>SUMIF('Flt IIa'!A:A,A36,'Flt IIa'!E:E)/3.2808^2</f>
        <v>0</v>
      </c>
      <c r="U36" s="155">
        <f>SUMIF('OPC Des'!A:A,A36,'OPC Des'!F:F)/3.2808^2</f>
        <v>0</v>
      </c>
      <c r="V36" s="155">
        <f>SUMIF('LCS 5'!A:A,A36,'LCS 5'!E:E)</f>
        <v>0</v>
      </c>
      <c r="W36" s="155">
        <f>SUMIF('USCG Summary'!$A$25:$A$50,A36,'USCG Summary'!$F$25:$F$50)/3.2808^2</f>
        <v>0</v>
      </c>
      <c r="X36" s="155">
        <f>SUMIF('USCG Summary'!$A$25:$A$50,A36,'USCG Summary'!$I$25:$I$50)/3.2808^2</f>
        <v>0</v>
      </c>
      <c r="Y36" s="155">
        <f>SUMIF('USCG Summary'!$A$25:$A$50,A36,'USCG Summary'!$L$25:$L$50)/3.2808^2</f>
        <v>0</v>
      </c>
      <c r="Z36" s="155">
        <f>SUMIF('USCG Summary'!$A$25:$A$50,A36,'USCG Summary'!$O$25:$O$50)/3.2808^2</f>
        <v>0</v>
      </c>
      <c r="AA36" s="155">
        <f>SUMIF('USCG Summary'!$A$25:$A$50,A36,'USCG Summary'!$P$25:$P$50)/3.2808^2</f>
        <v>0</v>
      </c>
      <c r="AB36" s="155">
        <f>SUMIF('USCG Summary'!$A$25:$A$50,A36,'USCG Summary'!$Q$25:$Q$50)/3.2808^2</f>
        <v>0</v>
      </c>
      <c r="AC36" s="155">
        <f>SUMIF('USCG Summary'!$A$25:$A$50,A36,'USCG Summary'!$T$25:$T$50)/3.2808^2</f>
        <v>0</v>
      </c>
      <c r="AD36" s="155">
        <f>SUMIF('USCG Summary'!$A$25:$A$50,A36,'USCG Summary'!$W$25:$W$50)/3.2808^2</f>
        <v>0</v>
      </c>
      <c r="AE36" s="155">
        <f>SUMIF('USCG Summary'!$A$25:$A$50,A36,'USCG Summary'!$Z$25:$Z$50)/3.2808^2</f>
        <v>0</v>
      </c>
      <c r="AF36" s="155">
        <f>SUMIF(Comp!$A$75:$A$400,Areas!A36,Comp!$F$75:$F$400)</f>
        <v>0</v>
      </c>
      <c r="AG36" s="155">
        <f>SUMIF(Comp!$A$75:$A$400,Areas!A36,Comp!$G$75:$G$400)</f>
        <v>0</v>
      </c>
      <c r="AH36" s="155"/>
      <c r="AI36" s="155">
        <f>SUMIF('Flt III'!D:D,A36,'Flt III'!F:F)/3.2808^3</f>
        <v>35.425667399224068</v>
      </c>
      <c r="AK36" s="147">
        <f t="shared" si="7"/>
        <v>35.425667399224068</v>
      </c>
    </row>
    <row r="37" spans="1:37" s="134" customFormat="1">
      <c r="A37" s="140">
        <v>1.1299999999999999</v>
      </c>
      <c r="B37" s="140" t="str">
        <f>Comp!B85</f>
        <v>COMMAND+CONTROL</v>
      </c>
      <c r="C37" s="149">
        <f>IF(S37=0,SUM(C38,C39,C40),S37)</f>
        <v>244.80546403268693</v>
      </c>
      <c r="D37" s="149">
        <f>IF(T37=0,SUM(D38,D39,D40),T37)</f>
        <v>255.21085757031915</v>
      </c>
      <c r="E37" s="149">
        <f>IF(U37=0,SUM(E38,E39,E40),U37)</f>
        <v>0</v>
      </c>
      <c r="F37" s="149">
        <f>IF(V37=0,SUM(F38,F39,F40),V37)</f>
        <v>0</v>
      </c>
      <c r="G37" s="149"/>
      <c r="H37" s="149"/>
      <c r="I37" s="149"/>
      <c r="J37" s="149"/>
      <c r="K37" s="149"/>
      <c r="L37" s="149"/>
      <c r="M37" s="149"/>
      <c r="N37" s="149"/>
      <c r="O37" s="149"/>
      <c r="P37" s="149">
        <f>AF37</f>
        <v>67.900000000000006</v>
      </c>
      <c r="Q37" s="149">
        <f>AG37</f>
        <v>67.900000000000006</v>
      </c>
      <c r="S37" s="153">
        <f>SUMIF('Flt III'!D:D,A37,'Flt III'!E:E)/3.2808^2</f>
        <v>0</v>
      </c>
      <c r="T37" s="153">
        <f>SUMIF('Flt IIa'!A:A,A37,'Flt IIa'!E:E)/3.2808^2</f>
        <v>0</v>
      </c>
      <c r="U37" s="153">
        <f>SUMIF('OPC Des'!A:A,A37,'OPC Des'!F:F)/3.2808^2</f>
        <v>0</v>
      </c>
      <c r="V37" s="153">
        <f>SUMIF('LCS 5'!A:A,A37,'LCS 5'!E:E)</f>
        <v>0</v>
      </c>
      <c r="W37" s="153">
        <f>SUMIF('USCG Summary'!$A$25:$A$50,A37,'USCG Summary'!$F$25:$F$50)/3.2808^2</f>
        <v>0</v>
      </c>
      <c r="X37" s="153">
        <f>SUMIF('USCG Summary'!$A$25:$A$50,A37,'USCG Summary'!$I$25:$I$50)/3.2808^2</f>
        <v>0</v>
      </c>
      <c r="Y37" s="153">
        <f>SUMIF('USCG Summary'!$A$25:$A$50,A37,'USCG Summary'!$L$25:$L$50)/3.2808^2</f>
        <v>0</v>
      </c>
      <c r="Z37" s="153">
        <f>SUMIF('USCG Summary'!$A$25:$A$50,A37,'USCG Summary'!$O$25:$O$50)/3.2808^2</f>
        <v>0</v>
      </c>
      <c r="AA37" s="153">
        <f>SUMIF('USCG Summary'!$A$25:$A$50,A37,'USCG Summary'!$P$25:$P$50)/3.2808^2</f>
        <v>0</v>
      </c>
      <c r="AB37" s="153">
        <f>SUMIF('USCG Summary'!$A$25:$A$50,A37,'USCG Summary'!$Q$25:$Q$50)/3.2808^2</f>
        <v>0</v>
      </c>
      <c r="AC37" s="153">
        <f>SUMIF('USCG Summary'!$A$25:$A$50,A37,'USCG Summary'!$T$25:$T$50)/3.2808^2</f>
        <v>0</v>
      </c>
      <c r="AD37" s="153">
        <f>SUMIF('USCG Summary'!$A$25:$A$50,A37,'USCG Summary'!$W$25:$W$50)/3.2808^2</f>
        <v>0</v>
      </c>
      <c r="AE37" s="153">
        <f>SUMIF('USCG Summary'!$A$25:$A$50,A37,'USCG Summary'!$Z$25:$Z$50)/3.2808^2</f>
        <v>0</v>
      </c>
      <c r="AF37" s="153">
        <f>SUMIF(Comp!$A$75:$A$400,Areas!A37,Comp!$F$75:$F$400)</f>
        <v>67.900000000000006</v>
      </c>
      <c r="AG37" s="153">
        <f>SUMIF(Comp!$A$75:$A$400,Areas!A37,Comp!$G$75:$G$400)</f>
        <v>67.900000000000006</v>
      </c>
      <c r="AH37" s="153"/>
      <c r="AI37" s="153">
        <f>SUMIF('Flt III'!D:D,A37,'Flt III'!F:F)/3.2808^3</f>
        <v>0</v>
      </c>
      <c r="AK37" s="149">
        <f>IF(AI37=0,SUM(AK38,AK39,AK40),AI37)</f>
        <v>687.13334887463793</v>
      </c>
    </row>
    <row r="38" spans="1:37" s="148" customFormat="1">
      <c r="A38" s="146" t="s">
        <v>1391</v>
      </c>
      <c r="B38" s="146"/>
      <c r="C38" s="147">
        <f>S38</f>
        <v>180.88661801580321</v>
      </c>
      <c r="D38" s="147">
        <f>T38</f>
        <v>0</v>
      </c>
      <c r="E38" s="147">
        <f>U38</f>
        <v>0</v>
      </c>
      <c r="F38" s="147">
        <f>V38</f>
        <v>0</v>
      </c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S38" s="155">
        <f>SUMIF('Flt III'!D:D,A38,'Flt III'!E:E)/3.2808^2</f>
        <v>180.88661801580321</v>
      </c>
      <c r="T38" s="155">
        <f>SUMIF('Flt IIa'!A:A,A38,'Flt IIa'!E:E)/3.2808^2</f>
        <v>0</v>
      </c>
      <c r="U38" s="155">
        <f>SUMIF('OPC Des'!A:A,A38,'OPC Des'!F:F)/3.2808^2</f>
        <v>0</v>
      </c>
      <c r="V38" s="155">
        <f>SUMIF('LCS 5'!A:A,A38,'LCS 5'!E:E)</f>
        <v>0</v>
      </c>
      <c r="W38" s="155">
        <f>SUMIF('USCG Summary'!$A$25:$A$50,A38,'USCG Summary'!$F$25:$F$50)/3.2808^2</f>
        <v>0</v>
      </c>
      <c r="X38" s="155">
        <f>SUMIF('USCG Summary'!$A$25:$A$50,A38,'USCG Summary'!$I$25:$I$50)/3.2808^2</f>
        <v>0</v>
      </c>
      <c r="Y38" s="155">
        <f>SUMIF('USCG Summary'!$A$25:$A$50,A38,'USCG Summary'!$L$25:$L$50)/3.2808^2</f>
        <v>0</v>
      </c>
      <c r="Z38" s="155">
        <f>SUMIF('USCG Summary'!$A$25:$A$50,A38,'USCG Summary'!$O$25:$O$50)/3.2808^2</f>
        <v>0</v>
      </c>
      <c r="AA38" s="155">
        <f>SUMIF('USCG Summary'!$A$25:$A$50,A38,'USCG Summary'!$P$25:$P$50)/3.2808^2</f>
        <v>0</v>
      </c>
      <c r="AB38" s="155">
        <f>SUMIF('USCG Summary'!$A$25:$A$50,A38,'USCG Summary'!$Q$25:$Q$50)/3.2808^2</f>
        <v>0</v>
      </c>
      <c r="AC38" s="155">
        <f>SUMIF('USCG Summary'!$A$25:$A$50,A38,'USCG Summary'!$T$25:$T$50)/3.2808^2</f>
        <v>0</v>
      </c>
      <c r="AD38" s="155">
        <f>SUMIF('USCG Summary'!$A$25:$A$50,A38,'USCG Summary'!$W$25:$W$50)/3.2808^2</f>
        <v>0</v>
      </c>
      <c r="AE38" s="155">
        <f>SUMIF('USCG Summary'!$A$25:$A$50,A38,'USCG Summary'!$Z$25:$Z$50)/3.2808^2</f>
        <v>0</v>
      </c>
      <c r="AF38" s="155">
        <f>SUMIF(Comp!$A$75:$A$400,Areas!A38,Comp!$F$75:$F$400)</f>
        <v>0</v>
      </c>
      <c r="AG38" s="155">
        <f>SUMIF(Comp!$A$75:$A$400,Areas!A38,Comp!$G$75:$G$400)</f>
        <v>0</v>
      </c>
      <c r="AH38" s="155"/>
      <c r="AI38" s="155">
        <f>SUMIF('Flt III'!D:D,A38,'Flt III'!F:F)/3.2808^3</f>
        <v>521.5303888821021</v>
      </c>
      <c r="AK38" s="147">
        <f>AI38</f>
        <v>521.5303888821021</v>
      </c>
    </row>
    <row r="39" spans="1:37" s="132" customFormat="1">
      <c r="A39" s="142">
        <v>1.131</v>
      </c>
      <c r="B39" s="142" t="str">
        <f>Comp!B86</f>
        <v>COMBAT INFO CENTER</v>
      </c>
      <c r="C39" s="143">
        <f>S39</f>
        <v>0</v>
      </c>
      <c r="D39" s="143">
        <f t="shared" ref="D39:F40" si="8">T39</f>
        <v>180.88661801580321</v>
      </c>
      <c r="E39" s="143">
        <f t="shared" si="8"/>
        <v>0</v>
      </c>
      <c r="F39" s="143">
        <f t="shared" si="8"/>
        <v>0</v>
      </c>
      <c r="G39" s="143"/>
      <c r="H39" s="143"/>
      <c r="I39" s="143"/>
      <c r="J39" s="143"/>
      <c r="K39" s="143"/>
      <c r="L39" s="143"/>
      <c r="M39" s="143"/>
      <c r="N39" s="143"/>
      <c r="O39" s="143"/>
      <c r="P39" s="143">
        <f>AF39</f>
        <v>0</v>
      </c>
      <c r="Q39" s="143">
        <f>AG39</f>
        <v>0</v>
      </c>
      <c r="S39" s="154">
        <f>SUMIF('Flt III'!D:D,A39,'Flt III'!E:E)/3.2808^2</f>
        <v>0</v>
      </c>
      <c r="T39" s="154">
        <f>SUMIF('Flt IIa'!A:A,A39,'Flt IIa'!E:E)/3.2808^2</f>
        <v>180.88661801580321</v>
      </c>
      <c r="U39" s="154">
        <f>SUMIF('OPC Des'!A:A,A39,'OPC Des'!F:F)/3.2808^2</f>
        <v>0</v>
      </c>
      <c r="V39" s="154">
        <f>SUMIF('LCS 5'!A:A,A39,'LCS 5'!E:E)</f>
        <v>0</v>
      </c>
      <c r="W39" s="154">
        <f>SUMIF('USCG Summary'!$A$25:$A$50,A39,'USCG Summary'!$F$25:$F$50)/3.2808^2</f>
        <v>0</v>
      </c>
      <c r="X39" s="154">
        <f>SUMIF('USCG Summary'!$A$25:$A$50,A39,'USCG Summary'!$I$25:$I$50)/3.2808^2</f>
        <v>0</v>
      </c>
      <c r="Y39" s="154">
        <f>SUMIF('USCG Summary'!$A$25:$A$50,A39,'USCG Summary'!$L$25:$L$50)/3.2808^2</f>
        <v>0</v>
      </c>
      <c r="Z39" s="154">
        <f>SUMIF('USCG Summary'!$A$25:$A$50,A39,'USCG Summary'!$O$25:$O$50)/3.2808^2</f>
        <v>0</v>
      </c>
      <c r="AA39" s="154">
        <f>SUMIF('USCG Summary'!$A$25:$A$50,A39,'USCG Summary'!$P$25:$P$50)/3.2808^2</f>
        <v>0</v>
      </c>
      <c r="AB39" s="154">
        <f>SUMIF('USCG Summary'!$A$25:$A$50,A39,'USCG Summary'!$Q$25:$Q$50)/3.2808^2</f>
        <v>0</v>
      </c>
      <c r="AC39" s="154">
        <f>SUMIF('USCG Summary'!$A$25:$A$50,A39,'USCG Summary'!$T$25:$T$50)/3.2808^2</f>
        <v>0</v>
      </c>
      <c r="AD39" s="154">
        <f>SUMIF('USCG Summary'!$A$25:$A$50,A39,'USCG Summary'!$W$25:$W$50)/3.2808^2</f>
        <v>0</v>
      </c>
      <c r="AE39" s="154">
        <f>SUMIF('USCG Summary'!$A$25:$A$50,A39,'USCG Summary'!$Z$25:$Z$50)/3.2808^2</f>
        <v>0</v>
      </c>
      <c r="AF39" s="154">
        <f>SUMIF(Comp!$A$75:$A$400,Areas!A39,Comp!$F$75:$F$400)</f>
        <v>0</v>
      </c>
      <c r="AG39" s="154">
        <f>SUMIF(Comp!$A$75:$A$400,Areas!A39,Comp!$G$75:$G$400)</f>
        <v>0</v>
      </c>
      <c r="AH39" s="154"/>
      <c r="AI39" s="154">
        <f>SUMIF('Flt III'!D:D,A39,'Flt III'!F:F)/3.2808^3</f>
        <v>0</v>
      </c>
      <c r="AK39" s="143">
        <f>AI39/3.2808^2</f>
        <v>0</v>
      </c>
    </row>
    <row r="40" spans="1:37" s="132" customFormat="1">
      <c r="A40" s="142">
        <v>1.1319999999999999</v>
      </c>
      <c r="B40" s="142" t="str">
        <f>Comp!B87</f>
        <v>CONNING STATIONS</v>
      </c>
      <c r="C40" s="143">
        <f>SUM(C41)</f>
        <v>63.918846016883727</v>
      </c>
      <c r="D40" s="143">
        <f t="shared" si="8"/>
        <v>74.324239554515955</v>
      </c>
      <c r="E40" s="143">
        <f t="shared" si="8"/>
        <v>0</v>
      </c>
      <c r="F40" s="143">
        <f t="shared" si="8"/>
        <v>0</v>
      </c>
      <c r="G40" s="143"/>
      <c r="H40" s="143"/>
      <c r="I40" s="143"/>
      <c r="J40" s="143"/>
      <c r="K40" s="143"/>
      <c r="L40" s="143"/>
      <c r="M40" s="143"/>
      <c r="N40" s="143"/>
      <c r="O40" s="143"/>
      <c r="P40" s="143">
        <f>AF40</f>
        <v>67.900000000000006</v>
      </c>
      <c r="Q40" s="143">
        <f>AG40</f>
        <v>67.900000000000006</v>
      </c>
      <c r="S40" s="154">
        <f>SUMIF('Flt III'!D:D,A40,'Flt III'!E:E)/3.2808^2</f>
        <v>0</v>
      </c>
      <c r="T40" s="154">
        <f>SUMIF('Flt IIa'!A:A,A40,'Flt IIa'!E:E)/3.2808^2</f>
        <v>74.324239554515955</v>
      </c>
      <c r="U40" s="154">
        <f>SUMIF('OPC Des'!A:A,A40,'OPC Des'!F:F)/3.2808^2</f>
        <v>0</v>
      </c>
      <c r="V40" s="154">
        <f>SUMIF('LCS 5'!A:A,A40,'LCS 5'!E:E)</f>
        <v>0</v>
      </c>
      <c r="W40" s="154">
        <f>SUMIF('USCG Summary'!$A$25:$A$50,A40,'USCG Summary'!$F$25:$F$50)/3.2808^2</f>
        <v>0</v>
      </c>
      <c r="X40" s="154">
        <f>SUMIF('USCG Summary'!$A$25:$A$50,A40,'USCG Summary'!$I$25:$I$50)/3.2808^2</f>
        <v>0</v>
      </c>
      <c r="Y40" s="154">
        <f>SUMIF('USCG Summary'!$A$25:$A$50,A40,'USCG Summary'!$L$25:$L$50)/3.2808^2</f>
        <v>0</v>
      </c>
      <c r="Z40" s="154">
        <f>SUMIF('USCG Summary'!$A$25:$A$50,A40,'USCG Summary'!$O$25:$O$50)/3.2808^2</f>
        <v>0</v>
      </c>
      <c r="AA40" s="154">
        <f>SUMIF('USCG Summary'!$A$25:$A$50,A40,'USCG Summary'!$P$25:$P$50)/3.2808^2</f>
        <v>0</v>
      </c>
      <c r="AB40" s="154">
        <f>SUMIF('USCG Summary'!$A$25:$A$50,A40,'USCG Summary'!$Q$25:$Q$50)/3.2808^2</f>
        <v>0</v>
      </c>
      <c r="AC40" s="154">
        <f>SUMIF('USCG Summary'!$A$25:$A$50,A40,'USCG Summary'!$T$25:$T$50)/3.2808^2</f>
        <v>0</v>
      </c>
      <c r="AD40" s="154">
        <f>SUMIF('USCG Summary'!$A$25:$A$50,A40,'USCG Summary'!$W$25:$W$50)/3.2808^2</f>
        <v>0</v>
      </c>
      <c r="AE40" s="154">
        <f>SUMIF('USCG Summary'!$A$25:$A$50,A40,'USCG Summary'!$Z$25:$Z$50)/3.2808^2</f>
        <v>0</v>
      </c>
      <c r="AF40" s="154">
        <f>SUMIF(Comp!$A$75:$A$400,Areas!A40,Comp!$F$75:$F$400)</f>
        <v>67.900000000000006</v>
      </c>
      <c r="AG40" s="154">
        <f>SUMIF(Comp!$A$75:$A$400,Areas!A40,Comp!$G$75:$G$400)</f>
        <v>67.900000000000006</v>
      </c>
      <c r="AH40" s="154"/>
      <c r="AI40" s="154">
        <f>SUMIF('Flt III'!D:D,A40,'Flt III'!F:F)/3.2808^3</f>
        <v>0</v>
      </c>
      <c r="AK40" s="143">
        <f>SUM(AK41)</f>
        <v>165.60295999253586</v>
      </c>
    </row>
    <row r="41" spans="1:37" s="148" customFormat="1">
      <c r="A41" s="146" t="s">
        <v>1388</v>
      </c>
      <c r="B41" s="146"/>
      <c r="C41" s="147">
        <f>S41</f>
        <v>63.918846016883727</v>
      </c>
      <c r="D41" s="147">
        <f>T41</f>
        <v>0</v>
      </c>
      <c r="E41" s="147">
        <f>U41</f>
        <v>0</v>
      </c>
      <c r="F41" s="147">
        <f>V41</f>
        <v>0</v>
      </c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S41" s="155">
        <f>SUMIF('Flt III'!D:D,A41,'Flt III'!E:E)/3.2808^2</f>
        <v>63.918846016883727</v>
      </c>
      <c r="T41" s="155">
        <f>SUMIF('Flt IIa'!A:A,A41,'Flt IIa'!E:E)/3.2808^2</f>
        <v>0</v>
      </c>
      <c r="U41" s="155">
        <f>SUMIF('OPC Des'!A:A,A41,'OPC Des'!F:F)/3.2808^2</f>
        <v>0</v>
      </c>
      <c r="V41" s="155">
        <f>SUMIF('LCS 5'!A:A,A41,'LCS 5'!E:E)</f>
        <v>0</v>
      </c>
      <c r="W41" s="155">
        <f>SUMIF('USCG Summary'!$A$25:$A$50,A41,'USCG Summary'!$F$25:$F$50)/3.2808^2</f>
        <v>0</v>
      </c>
      <c r="X41" s="155">
        <f>SUMIF('USCG Summary'!$A$25:$A$50,A41,'USCG Summary'!$I$25:$I$50)/3.2808^2</f>
        <v>0</v>
      </c>
      <c r="Y41" s="155">
        <f>SUMIF('USCG Summary'!$A$25:$A$50,A41,'USCG Summary'!$L$25:$L$50)/3.2808^2</f>
        <v>0</v>
      </c>
      <c r="Z41" s="155">
        <f>SUMIF('USCG Summary'!$A$25:$A$50,A41,'USCG Summary'!$O$25:$O$50)/3.2808^2</f>
        <v>0</v>
      </c>
      <c r="AA41" s="155">
        <f>SUMIF('USCG Summary'!$A$25:$A$50,A41,'USCG Summary'!$P$25:$P$50)/3.2808^2</f>
        <v>0</v>
      </c>
      <c r="AB41" s="155">
        <f>SUMIF('USCG Summary'!$A$25:$A$50,A41,'USCG Summary'!$Q$25:$Q$50)/3.2808^2</f>
        <v>0</v>
      </c>
      <c r="AC41" s="155">
        <f>SUMIF('USCG Summary'!$A$25:$A$50,A41,'USCG Summary'!$T$25:$T$50)/3.2808^2</f>
        <v>0</v>
      </c>
      <c r="AD41" s="155">
        <f>SUMIF('USCG Summary'!$A$25:$A$50,A41,'USCG Summary'!$W$25:$W$50)/3.2808^2</f>
        <v>0</v>
      </c>
      <c r="AE41" s="155">
        <f>SUMIF('USCG Summary'!$A$25:$A$50,A41,'USCG Summary'!$Z$25:$Z$50)/3.2808^2</f>
        <v>0</v>
      </c>
      <c r="AF41" s="155">
        <f>SUMIF(Comp!$A$75:$A$400,Areas!A41,Comp!$F$75:$F$400)</f>
        <v>0</v>
      </c>
      <c r="AG41" s="155">
        <f>SUMIF(Comp!$A$75:$A$400,Areas!A41,Comp!$G$75:$G$400)</f>
        <v>0</v>
      </c>
      <c r="AH41" s="155"/>
      <c r="AI41" s="155">
        <f>SUMIF('Flt III'!D:D,A41,'Flt III'!F:F)/3.2808^3</f>
        <v>165.60295999253586</v>
      </c>
      <c r="AK41" s="147">
        <f>AI41</f>
        <v>165.60295999253586</v>
      </c>
    </row>
    <row r="42" spans="1:37" s="141" customFormat="1">
      <c r="A42" s="144">
        <v>1.1321000000000001</v>
      </c>
      <c r="B42" s="144" t="str">
        <f>Comp!B88</f>
        <v>PILOT HOUSE</v>
      </c>
      <c r="C42" s="145">
        <f>SUM(C43)+S42</f>
        <v>10.405393537632234</v>
      </c>
      <c r="D42" s="145">
        <f>SUM(D43)+T42</f>
        <v>0</v>
      </c>
      <c r="E42" s="145">
        <f>SUM(E43)+U42</f>
        <v>0</v>
      </c>
      <c r="F42" s="145">
        <f>SUM(F43)+V42</f>
        <v>8.17</v>
      </c>
      <c r="G42" s="145"/>
      <c r="H42" s="145"/>
      <c r="I42" s="145"/>
      <c r="J42" s="145"/>
      <c r="K42" s="145"/>
      <c r="L42" s="145"/>
      <c r="M42" s="145"/>
      <c r="N42" s="145"/>
      <c r="O42" s="145"/>
      <c r="P42" s="145">
        <f>AF42</f>
        <v>60.9</v>
      </c>
      <c r="Q42" s="145">
        <f>AG42</f>
        <v>60.9</v>
      </c>
      <c r="S42" s="156">
        <f>SUMIF('Flt III'!D:D,A42,'Flt III'!E:E)/3.2808^2</f>
        <v>0</v>
      </c>
      <c r="T42" s="156">
        <f>SUMIF('Flt IIa'!A:A,A42,'Flt IIa'!E:E)/3.2808^2</f>
        <v>0</v>
      </c>
      <c r="U42" s="156">
        <f>SUMIF('OPC Des'!A:A,A42,'OPC Des'!F:F)/3.2808^2</f>
        <v>0</v>
      </c>
      <c r="V42" s="156">
        <f>SUMIF('LCS 5'!A:A,A42,'LCS 5'!E:E)</f>
        <v>0</v>
      </c>
      <c r="W42" s="156">
        <f>SUMIF('USCG Summary'!$A$25:$A$50,A42,'USCG Summary'!$F$25:$F$50)/3.2808^2</f>
        <v>0</v>
      </c>
      <c r="X42" s="156">
        <f>SUMIF('USCG Summary'!$A$25:$A$50,A42,'USCG Summary'!$I$25:$I$50)/3.2808^2</f>
        <v>0</v>
      </c>
      <c r="Y42" s="156">
        <f>SUMIF('USCG Summary'!$A$25:$A$50,A42,'USCG Summary'!$L$25:$L$50)/3.2808^2</f>
        <v>0</v>
      </c>
      <c r="Z42" s="156">
        <f>SUMIF('USCG Summary'!$A$25:$A$50,A42,'USCG Summary'!$O$25:$O$50)/3.2808^2</f>
        <v>0</v>
      </c>
      <c r="AA42" s="156">
        <f>SUMIF('USCG Summary'!$A$25:$A$50,A42,'USCG Summary'!$P$25:$P$50)/3.2808^2</f>
        <v>0</v>
      </c>
      <c r="AB42" s="156">
        <f>SUMIF('USCG Summary'!$A$25:$A$50,A42,'USCG Summary'!$Q$25:$Q$50)/3.2808^2</f>
        <v>0</v>
      </c>
      <c r="AC42" s="156">
        <f>SUMIF('USCG Summary'!$A$25:$A$50,A42,'USCG Summary'!$T$25:$T$50)/3.2808^2</f>
        <v>0</v>
      </c>
      <c r="AD42" s="156">
        <f>SUMIF('USCG Summary'!$A$25:$A$50,A42,'USCG Summary'!$W$25:$W$50)/3.2808^2</f>
        <v>0</v>
      </c>
      <c r="AE42" s="156">
        <f>SUMIF('USCG Summary'!$A$25:$A$50,A42,'USCG Summary'!$Z$25:$Z$50)/3.2808^2</f>
        <v>0</v>
      </c>
      <c r="AF42" s="156">
        <f>SUMIF(Comp!$A$75:$A$400,Areas!A42,Comp!$F$75:$F$400)</f>
        <v>60.9</v>
      </c>
      <c r="AG42" s="156">
        <f>SUMIF(Comp!$A$75:$A$400,Areas!A42,Comp!$G$75:$G$400)</f>
        <v>60.9</v>
      </c>
      <c r="AH42" s="156"/>
      <c r="AI42" s="156">
        <f>SUMIF('Flt III'!D:D,A42,'Flt III'!F:F)/3.2808^3</f>
        <v>0</v>
      </c>
      <c r="AK42" s="145">
        <f>SUM(AK43)+AI42</f>
        <v>26.958621394133743</v>
      </c>
    </row>
    <row r="43" spans="1:37" s="148" customFormat="1">
      <c r="A43" s="146" t="s">
        <v>1385</v>
      </c>
      <c r="B43" s="146"/>
      <c r="C43" s="147">
        <f t="shared" ref="C43:F44" si="9">S43</f>
        <v>10.405393537632234</v>
      </c>
      <c r="D43" s="147">
        <f t="shared" si="9"/>
        <v>0</v>
      </c>
      <c r="E43" s="147">
        <f t="shared" si="9"/>
        <v>0</v>
      </c>
      <c r="F43" s="147">
        <f t="shared" si="9"/>
        <v>8.17</v>
      </c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S43" s="155">
        <f>SUMIF('Flt III'!D:D,A43,'Flt III'!E:E)/3.2808^2</f>
        <v>10.405393537632234</v>
      </c>
      <c r="T43" s="155">
        <f>SUMIF('Flt IIa'!A:A,A43,'Flt IIa'!E:E)/3.2808^2</f>
        <v>0</v>
      </c>
      <c r="U43" s="155">
        <f>SUMIF('OPC Des'!A:A,A43,'OPC Des'!F:F)/3.2808^2</f>
        <v>0</v>
      </c>
      <c r="V43" s="155">
        <f>SUMIF('LCS 5'!A:A,A43,'LCS 5'!E:E)</f>
        <v>8.17</v>
      </c>
      <c r="W43" s="155">
        <f>SUMIF('USCG Summary'!$A$25:$A$50,A43,'USCG Summary'!$F$25:$F$50)/3.2808^2</f>
        <v>0</v>
      </c>
      <c r="X43" s="155">
        <f>SUMIF('USCG Summary'!$A$25:$A$50,A43,'USCG Summary'!$I$25:$I$50)/3.2808^2</f>
        <v>0</v>
      </c>
      <c r="Y43" s="155">
        <f>SUMIF('USCG Summary'!$A$25:$A$50,A43,'USCG Summary'!$L$25:$L$50)/3.2808^2</f>
        <v>0</v>
      </c>
      <c r="Z43" s="155">
        <f>SUMIF('USCG Summary'!$A$25:$A$50,A43,'USCG Summary'!$O$25:$O$50)/3.2808^2</f>
        <v>0</v>
      </c>
      <c r="AA43" s="155">
        <f>SUMIF('USCG Summary'!$A$25:$A$50,A43,'USCG Summary'!$P$25:$P$50)/3.2808^2</f>
        <v>0</v>
      </c>
      <c r="AB43" s="155">
        <f>SUMIF('USCG Summary'!$A$25:$A$50,A43,'USCG Summary'!$Q$25:$Q$50)/3.2808^2</f>
        <v>0</v>
      </c>
      <c r="AC43" s="155">
        <f>SUMIF('USCG Summary'!$A$25:$A$50,A43,'USCG Summary'!$T$25:$T$50)/3.2808^2</f>
        <v>0</v>
      </c>
      <c r="AD43" s="155">
        <f>SUMIF('USCG Summary'!$A$25:$A$50,A43,'USCG Summary'!$W$25:$W$50)/3.2808^2</f>
        <v>0</v>
      </c>
      <c r="AE43" s="155">
        <f>SUMIF('USCG Summary'!$A$25:$A$50,A43,'USCG Summary'!$Z$25:$Z$50)/3.2808^2</f>
        <v>0</v>
      </c>
      <c r="AF43" s="155">
        <f>SUMIF(Comp!$A$75:$A$400,Areas!A43,Comp!$F$75:$F$400)</f>
        <v>0</v>
      </c>
      <c r="AG43" s="155">
        <f>SUMIF(Comp!$A$75:$A$400,Areas!A43,Comp!$G$75:$G$400)</f>
        <v>0</v>
      </c>
      <c r="AH43" s="155"/>
      <c r="AI43" s="155">
        <f>SUMIF('Flt III'!D:D,A43,'Flt III'!F:F)/3.2808^3</f>
        <v>26.958621394133743</v>
      </c>
      <c r="AK43" s="147">
        <f>AI43</f>
        <v>26.958621394133743</v>
      </c>
    </row>
    <row r="44" spans="1:37" s="141" customFormat="1">
      <c r="A44" s="144">
        <v>1.1322000000000001</v>
      </c>
      <c r="B44" s="144" t="str">
        <f>Comp!B89</f>
        <v>CHART ROOM</v>
      </c>
      <c r="C44" s="145">
        <f t="shared" si="9"/>
        <v>0</v>
      </c>
      <c r="D44" s="145">
        <f t="shared" si="9"/>
        <v>0</v>
      </c>
      <c r="E44" s="145">
        <f t="shared" si="9"/>
        <v>0</v>
      </c>
      <c r="F44" s="145">
        <f t="shared" si="9"/>
        <v>0</v>
      </c>
      <c r="G44" s="145"/>
      <c r="H44" s="145"/>
      <c r="I44" s="145"/>
      <c r="J44" s="145"/>
      <c r="K44" s="145"/>
      <c r="L44" s="145"/>
      <c r="M44" s="145"/>
      <c r="N44" s="145"/>
      <c r="O44" s="145"/>
      <c r="P44" s="145">
        <f>AF44</f>
        <v>7</v>
      </c>
      <c r="Q44" s="145">
        <f>AG44</f>
        <v>7</v>
      </c>
      <c r="S44" s="156">
        <f>SUMIF('Flt III'!D:D,A44,'Flt III'!E:E)/3.2808^2</f>
        <v>0</v>
      </c>
      <c r="T44" s="156">
        <f>SUMIF('Flt IIa'!A:A,A44,'Flt IIa'!E:E)/3.2808^2</f>
        <v>0</v>
      </c>
      <c r="U44" s="156">
        <f>SUMIF('OPC Des'!A:A,A44,'OPC Des'!F:F)/3.2808^2</f>
        <v>0</v>
      </c>
      <c r="V44" s="156">
        <f>SUMIF('LCS 5'!A:A,A44,'LCS 5'!E:E)</f>
        <v>0</v>
      </c>
      <c r="W44" s="156">
        <f>SUMIF('USCG Summary'!$A$25:$A$50,A44,'USCG Summary'!$F$25:$F$50)/3.2808^2</f>
        <v>0</v>
      </c>
      <c r="X44" s="156">
        <f>SUMIF('USCG Summary'!$A$25:$A$50,A44,'USCG Summary'!$I$25:$I$50)/3.2808^2</f>
        <v>0</v>
      </c>
      <c r="Y44" s="156">
        <f>SUMIF('USCG Summary'!$A$25:$A$50,A44,'USCG Summary'!$L$25:$L$50)/3.2808^2</f>
        <v>0</v>
      </c>
      <c r="Z44" s="156">
        <f>SUMIF('USCG Summary'!$A$25:$A$50,A44,'USCG Summary'!$O$25:$O$50)/3.2808^2</f>
        <v>0</v>
      </c>
      <c r="AA44" s="156">
        <f>SUMIF('USCG Summary'!$A$25:$A$50,A44,'USCG Summary'!$P$25:$P$50)/3.2808^2</f>
        <v>0</v>
      </c>
      <c r="AB44" s="156">
        <f>SUMIF('USCG Summary'!$A$25:$A$50,A44,'USCG Summary'!$Q$25:$Q$50)/3.2808^2</f>
        <v>0</v>
      </c>
      <c r="AC44" s="156">
        <f>SUMIF('USCG Summary'!$A$25:$A$50,A44,'USCG Summary'!$T$25:$T$50)/3.2808^2</f>
        <v>0</v>
      </c>
      <c r="AD44" s="156">
        <f>SUMIF('USCG Summary'!$A$25:$A$50,A44,'USCG Summary'!$W$25:$W$50)/3.2808^2</f>
        <v>0</v>
      </c>
      <c r="AE44" s="156">
        <f>SUMIF('USCG Summary'!$A$25:$A$50,A44,'USCG Summary'!$Z$25:$Z$50)/3.2808^2</f>
        <v>0</v>
      </c>
      <c r="AF44" s="156">
        <f>SUMIF(Comp!$A$75:$A$400,Areas!A44,Comp!$F$75:$F$400)</f>
        <v>7</v>
      </c>
      <c r="AG44" s="156">
        <f>SUMIF(Comp!$A$75:$A$400,Areas!A44,Comp!$G$75:$G$400)</f>
        <v>7</v>
      </c>
      <c r="AH44" s="156"/>
      <c r="AI44" s="156">
        <f>SUMIF('Flt III'!D:D,A44,'Flt III'!F:F)/3.2808^3</f>
        <v>0</v>
      </c>
      <c r="AK44" s="145">
        <f>AI44</f>
        <v>0</v>
      </c>
    </row>
    <row r="45" spans="1:37" s="132" customFormat="1">
      <c r="A45" s="142">
        <v>1.133</v>
      </c>
      <c r="B45" s="142" t="str">
        <f>Comp!B90</f>
        <v>DATA PROCESSING</v>
      </c>
      <c r="C45" s="143">
        <f>SUM(C46)</f>
        <v>225.01663525129706</v>
      </c>
      <c r="D45" s="143">
        <f>SUM(D46)</f>
        <v>0</v>
      </c>
      <c r="E45" s="143">
        <f>SUM(E46)</f>
        <v>0</v>
      </c>
      <c r="F45" s="143">
        <f>SUM(F46)</f>
        <v>133.88999999999999</v>
      </c>
      <c r="G45" s="143"/>
      <c r="H45" s="143"/>
      <c r="I45" s="143"/>
      <c r="J45" s="143"/>
      <c r="K45" s="143"/>
      <c r="L45" s="143"/>
      <c r="M45" s="143"/>
      <c r="N45" s="143"/>
      <c r="O45" s="143"/>
      <c r="P45" s="143">
        <f>AF45</f>
        <v>0</v>
      </c>
      <c r="Q45" s="143">
        <f>AG45</f>
        <v>0</v>
      </c>
      <c r="S45" s="154">
        <f>SUMIF('Flt III'!D:D,A45,'Flt III'!E:E)/3.2808^2</f>
        <v>0</v>
      </c>
      <c r="T45" s="154">
        <f>SUMIF('Flt IIa'!A:A,A45,'Flt IIa'!E:E)/3.2808^2</f>
        <v>0</v>
      </c>
      <c r="U45" s="154">
        <f>SUMIF('OPC Des'!A:A,A45,'OPC Des'!F:F)/3.2808^2</f>
        <v>0</v>
      </c>
      <c r="V45" s="154">
        <f>SUMIF('LCS 5'!A:A,A45,'LCS 5'!E:E)</f>
        <v>0</v>
      </c>
      <c r="W45" s="154">
        <f>SUMIF('USCG Summary'!$A$25:$A$50,A45,'USCG Summary'!$F$25:$F$50)/3.2808^2</f>
        <v>0</v>
      </c>
      <c r="X45" s="154">
        <f>SUMIF('USCG Summary'!$A$25:$A$50,A45,'USCG Summary'!$I$25:$I$50)/3.2808^2</f>
        <v>0</v>
      </c>
      <c r="Y45" s="154">
        <f>SUMIF('USCG Summary'!$A$25:$A$50,A45,'USCG Summary'!$L$25:$L$50)/3.2808^2</f>
        <v>0</v>
      </c>
      <c r="Z45" s="154">
        <f>SUMIF('USCG Summary'!$A$25:$A$50,A45,'USCG Summary'!$O$25:$O$50)/3.2808^2</f>
        <v>0</v>
      </c>
      <c r="AA45" s="154">
        <f>SUMIF('USCG Summary'!$A$25:$A$50,A45,'USCG Summary'!$P$25:$P$50)/3.2808^2</f>
        <v>0</v>
      </c>
      <c r="AB45" s="154">
        <f>SUMIF('USCG Summary'!$A$25:$A$50,A45,'USCG Summary'!$Q$25:$Q$50)/3.2808^2</f>
        <v>0</v>
      </c>
      <c r="AC45" s="154">
        <f>SUMIF('USCG Summary'!$A$25:$A$50,A45,'USCG Summary'!$T$25:$T$50)/3.2808^2</f>
        <v>0</v>
      </c>
      <c r="AD45" s="154">
        <f>SUMIF('USCG Summary'!$A$25:$A$50,A45,'USCG Summary'!$W$25:$W$50)/3.2808^2</f>
        <v>0</v>
      </c>
      <c r="AE45" s="154">
        <f>SUMIF('USCG Summary'!$A$25:$A$50,A45,'USCG Summary'!$Z$25:$Z$50)/3.2808^2</f>
        <v>0</v>
      </c>
      <c r="AF45" s="154">
        <f>SUMIF(Comp!$A$75:$A$400,Areas!A45,Comp!$F$75:$F$400)</f>
        <v>0</v>
      </c>
      <c r="AG45" s="154">
        <f>SUMIF(Comp!$A$75:$A$400,Areas!A45,Comp!$G$75:$G$400)</f>
        <v>0</v>
      </c>
      <c r="AH45" s="154"/>
      <c r="AI45" s="154">
        <f>SUMIF('Flt III'!D:D,A45,'Flt III'!F:F)/3.2808^3</f>
        <v>0</v>
      </c>
      <c r="AK45" s="143">
        <f>SUM(AK46)</f>
        <v>649.7254299023158</v>
      </c>
    </row>
    <row r="46" spans="1:37" s="148" customFormat="1">
      <c r="A46" s="146" t="s">
        <v>1375</v>
      </c>
      <c r="B46" s="146"/>
      <c r="C46" s="147">
        <f>S46</f>
        <v>225.01663525129706</v>
      </c>
      <c r="D46" s="147">
        <f>T46</f>
        <v>0</v>
      </c>
      <c r="E46" s="147">
        <f>U46</f>
        <v>0</v>
      </c>
      <c r="F46" s="147">
        <f>V46</f>
        <v>133.88999999999999</v>
      </c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S46" s="155">
        <f>SUMIF('Flt III'!D:D,A46,'Flt III'!E:E)/3.2808^2</f>
        <v>225.01663525129706</v>
      </c>
      <c r="T46" s="155">
        <f>SUMIF('Flt IIa'!A:A,A46,'Flt IIa'!E:E)/3.2808^2</f>
        <v>0</v>
      </c>
      <c r="U46" s="155">
        <f>SUMIF('OPC Des'!A:A,A46,'OPC Des'!F:F)/3.2808^2</f>
        <v>0</v>
      </c>
      <c r="V46" s="155">
        <f>SUMIF('LCS 5'!A:A,A46,'LCS 5'!E:E)</f>
        <v>133.88999999999999</v>
      </c>
      <c r="W46" s="155">
        <f>SUMIF('USCG Summary'!$A$25:$A$50,A46,'USCG Summary'!$F$25:$F$50)/3.2808^2</f>
        <v>0</v>
      </c>
      <c r="X46" s="155">
        <f>SUMIF('USCG Summary'!$A$25:$A$50,A46,'USCG Summary'!$I$25:$I$50)/3.2808^2</f>
        <v>0</v>
      </c>
      <c r="Y46" s="155">
        <f>SUMIF('USCG Summary'!$A$25:$A$50,A46,'USCG Summary'!$L$25:$L$50)/3.2808^2</f>
        <v>0</v>
      </c>
      <c r="Z46" s="155">
        <f>SUMIF('USCG Summary'!$A$25:$A$50,A46,'USCG Summary'!$O$25:$O$50)/3.2808^2</f>
        <v>0</v>
      </c>
      <c r="AA46" s="155">
        <f>SUMIF('USCG Summary'!$A$25:$A$50,A46,'USCG Summary'!$P$25:$P$50)/3.2808^2</f>
        <v>0</v>
      </c>
      <c r="AB46" s="155">
        <f>SUMIF('USCG Summary'!$A$25:$A$50,A46,'USCG Summary'!$Q$25:$Q$50)/3.2808^2</f>
        <v>0</v>
      </c>
      <c r="AC46" s="155">
        <f>SUMIF('USCG Summary'!$A$25:$A$50,A46,'USCG Summary'!$T$25:$T$50)/3.2808^2</f>
        <v>0</v>
      </c>
      <c r="AD46" s="155">
        <f>SUMIF('USCG Summary'!$A$25:$A$50,A46,'USCG Summary'!$W$25:$W$50)/3.2808^2</f>
        <v>0</v>
      </c>
      <c r="AE46" s="155">
        <f>SUMIF('USCG Summary'!$A$25:$A$50,A46,'USCG Summary'!$Z$25:$Z$50)/3.2808^2</f>
        <v>0</v>
      </c>
      <c r="AF46" s="155">
        <f>SUMIF(Comp!$A$75:$A$400,Areas!A46,Comp!$F$75:$F$400)</f>
        <v>0</v>
      </c>
      <c r="AG46" s="155">
        <f>SUMIF(Comp!$A$75:$A$400,Areas!A46,Comp!$G$75:$G$400)</f>
        <v>0</v>
      </c>
      <c r="AH46" s="155"/>
      <c r="AI46" s="155">
        <f>SUMIF('Flt III'!D:D,A46,'Flt III'!F:F)/3.2808^3</f>
        <v>649.7254299023158</v>
      </c>
      <c r="AK46" s="147">
        <f>AI46</f>
        <v>649.7254299023158</v>
      </c>
    </row>
    <row r="47" spans="1:37" s="134" customFormat="1">
      <c r="A47" s="140">
        <v>1.1399999999999999</v>
      </c>
      <c r="B47" s="140" t="str">
        <f>Comp!B91</f>
        <v>COUNTERMEASURES</v>
      </c>
      <c r="C47" s="149">
        <f>IF(S47=0,SUM(C48,C50,C52,C54),S47)</f>
        <v>90.303951058736885</v>
      </c>
      <c r="D47" s="149">
        <f>IF(T47=0,SUM(D48,D50,D52,D54),T47)</f>
        <v>59.831012841385345</v>
      </c>
      <c r="E47" s="149">
        <f>IF(U47=0,SUM(E48,E50,E52,E54),U47)</f>
        <v>0</v>
      </c>
      <c r="F47" s="149">
        <f>IF(V47=0,SUM(F48,F50,F52,F54),V47)</f>
        <v>0</v>
      </c>
      <c r="G47" s="149"/>
      <c r="H47" s="149"/>
      <c r="I47" s="149"/>
      <c r="J47" s="149"/>
      <c r="K47" s="149"/>
      <c r="L47" s="149"/>
      <c r="M47" s="149"/>
      <c r="N47" s="149"/>
      <c r="O47" s="149"/>
      <c r="P47" s="149">
        <f>AF47</f>
        <v>0</v>
      </c>
      <c r="Q47" s="149">
        <f>AG47</f>
        <v>0</v>
      </c>
      <c r="S47" s="153">
        <f>SUMIF('Flt III'!D:D,A47,'Flt III'!E:E)/3.2808^2</f>
        <v>0</v>
      </c>
      <c r="T47" s="153">
        <f>SUMIF('Flt IIa'!A:A,A47,'Flt IIa'!E:E)/3.2808^2</f>
        <v>0</v>
      </c>
      <c r="U47" s="153">
        <f>SUMIF('OPC Des'!A:A,A47,'OPC Des'!F:F)/3.2808^2</f>
        <v>0</v>
      </c>
      <c r="V47" s="153">
        <f>SUMIF('LCS 5'!A:A,A47,'LCS 5'!E:E)</f>
        <v>0</v>
      </c>
      <c r="W47" s="153">
        <f>SUMIF('USCG Summary'!$A$25:$A$50,A47,'USCG Summary'!$F$25:$F$50)/3.2808^2</f>
        <v>0</v>
      </c>
      <c r="X47" s="153">
        <f>SUMIF('USCG Summary'!$A$25:$A$50,A47,'USCG Summary'!$I$25:$I$50)/3.2808^2</f>
        <v>0</v>
      </c>
      <c r="Y47" s="153">
        <f>SUMIF('USCG Summary'!$A$25:$A$50,A47,'USCG Summary'!$L$25:$L$50)/3.2808^2</f>
        <v>0</v>
      </c>
      <c r="Z47" s="153">
        <f>SUMIF('USCG Summary'!$A$25:$A$50,A47,'USCG Summary'!$O$25:$O$50)/3.2808^2</f>
        <v>0</v>
      </c>
      <c r="AA47" s="153">
        <f>SUMIF('USCG Summary'!$A$25:$A$50,A47,'USCG Summary'!$P$25:$P$50)/3.2808^2</f>
        <v>0</v>
      </c>
      <c r="AB47" s="153">
        <f>SUMIF('USCG Summary'!$A$25:$A$50,A47,'USCG Summary'!$Q$25:$Q$50)/3.2808^2</f>
        <v>0</v>
      </c>
      <c r="AC47" s="153">
        <f>SUMIF('USCG Summary'!$A$25:$A$50,A47,'USCG Summary'!$T$25:$T$50)/3.2808^2</f>
        <v>0</v>
      </c>
      <c r="AD47" s="153">
        <f>SUMIF('USCG Summary'!$A$25:$A$50,A47,'USCG Summary'!$W$25:$W$50)/3.2808^2</f>
        <v>0</v>
      </c>
      <c r="AE47" s="153">
        <f>SUMIF('USCG Summary'!$A$25:$A$50,A47,'USCG Summary'!$Z$25:$Z$50)/3.2808^2</f>
        <v>0</v>
      </c>
      <c r="AF47" s="153">
        <f>SUMIF(Comp!$A$75:$A$400,Areas!A47,Comp!$F$75:$F$400)</f>
        <v>0</v>
      </c>
      <c r="AG47" s="153">
        <f>SUMIF(Comp!$A$75:$A$400,Areas!A47,Comp!$G$75:$G$400)</f>
        <v>0</v>
      </c>
      <c r="AH47" s="153"/>
      <c r="AI47" s="153">
        <f>SUMIF('Flt III'!D:D,A47,'Flt III'!F:F)/3.2808^3</f>
        <v>0</v>
      </c>
      <c r="AK47" s="149">
        <f>IF(AI47=0,SUM(AK48,AK50,AK52,AK54),AI47)</f>
        <v>260.92094277893733</v>
      </c>
    </row>
    <row r="48" spans="1:37" s="132" customFormat="1">
      <c r="A48" s="142">
        <v>1.141</v>
      </c>
      <c r="B48" s="142" t="str">
        <f>Comp!B92</f>
        <v>ELECTRONIC</v>
      </c>
      <c r="C48" s="143">
        <f>SUM(C49)</f>
        <v>41.342858252199505</v>
      </c>
      <c r="D48" s="143">
        <f t="shared" ref="D48:F51" si="10">T48</f>
        <v>41.342858252199505</v>
      </c>
      <c r="E48" s="143">
        <f t="shared" si="10"/>
        <v>0</v>
      </c>
      <c r="F48" s="143">
        <f t="shared" si="10"/>
        <v>0</v>
      </c>
      <c r="G48" s="143"/>
      <c r="H48" s="143"/>
      <c r="I48" s="143"/>
      <c r="J48" s="143"/>
      <c r="K48" s="143"/>
      <c r="L48" s="143"/>
      <c r="M48" s="143"/>
      <c r="N48" s="143"/>
      <c r="O48" s="143"/>
      <c r="P48" s="143">
        <f>AF48</f>
        <v>0</v>
      </c>
      <c r="Q48" s="143">
        <f>AG48</f>
        <v>0</v>
      </c>
      <c r="S48" s="154">
        <f>SUMIF('Flt III'!D:D,A48,'Flt III'!E:E)/3.2808^2</f>
        <v>0</v>
      </c>
      <c r="T48" s="154">
        <f>SUMIF('Flt IIa'!A:A,A48,'Flt IIa'!E:E)/3.2808^2</f>
        <v>41.342858252199505</v>
      </c>
      <c r="U48" s="154">
        <f>SUMIF('OPC Des'!A:A,A48,'OPC Des'!F:F)/3.2808^2</f>
        <v>0</v>
      </c>
      <c r="V48" s="154">
        <f>SUMIF('LCS 5'!A:A,A48,'LCS 5'!E:E)</f>
        <v>0</v>
      </c>
      <c r="W48" s="154">
        <f>SUMIF('USCG Summary'!$A$25:$A$50,A48,'USCG Summary'!$F$25:$F$50)/3.2808^2</f>
        <v>0</v>
      </c>
      <c r="X48" s="154">
        <f>SUMIF('USCG Summary'!$A$25:$A$50,A48,'USCG Summary'!$I$25:$I$50)/3.2808^2</f>
        <v>0</v>
      </c>
      <c r="Y48" s="154">
        <f>SUMIF('USCG Summary'!$A$25:$A$50,A48,'USCG Summary'!$L$25:$L$50)/3.2808^2</f>
        <v>0</v>
      </c>
      <c r="Z48" s="154">
        <f>SUMIF('USCG Summary'!$A$25:$A$50,A48,'USCG Summary'!$O$25:$O$50)/3.2808^2</f>
        <v>0</v>
      </c>
      <c r="AA48" s="154">
        <f>SUMIF('USCG Summary'!$A$25:$A$50,A48,'USCG Summary'!$P$25:$P$50)/3.2808^2</f>
        <v>0</v>
      </c>
      <c r="AB48" s="154">
        <f>SUMIF('USCG Summary'!$A$25:$A$50,A48,'USCG Summary'!$Q$25:$Q$50)/3.2808^2</f>
        <v>0</v>
      </c>
      <c r="AC48" s="154">
        <f>SUMIF('USCG Summary'!$A$25:$A$50,A48,'USCG Summary'!$T$25:$T$50)/3.2808^2</f>
        <v>0</v>
      </c>
      <c r="AD48" s="154">
        <f>SUMIF('USCG Summary'!$A$25:$A$50,A48,'USCG Summary'!$W$25:$W$50)/3.2808^2</f>
        <v>0</v>
      </c>
      <c r="AE48" s="154">
        <f>SUMIF('USCG Summary'!$A$25:$A$50,A48,'USCG Summary'!$Z$25:$Z$50)/3.2808^2</f>
        <v>0</v>
      </c>
      <c r="AF48" s="154">
        <f>SUMIF(Comp!$A$75:$A$400,Areas!A48,Comp!$F$75:$F$400)</f>
        <v>0</v>
      </c>
      <c r="AG48" s="154">
        <f>SUMIF(Comp!$A$75:$A$400,Areas!A48,Comp!$G$75:$G$400)</f>
        <v>0</v>
      </c>
      <c r="AH48" s="154"/>
      <c r="AI48" s="154">
        <f>SUMIF('Flt III'!D:D,A48,'Flt III'!F:F)/3.2808^3</f>
        <v>0</v>
      </c>
      <c r="AK48" s="143">
        <f>SUM(AK49)</f>
        <v>106.98494918806438</v>
      </c>
    </row>
    <row r="49" spans="1:37" s="148" customFormat="1">
      <c r="A49" s="146" t="s">
        <v>1370</v>
      </c>
      <c r="B49" s="146"/>
      <c r="C49" s="147">
        <f>S49</f>
        <v>41.342858252199505</v>
      </c>
      <c r="D49" s="147">
        <f t="shared" si="10"/>
        <v>0</v>
      </c>
      <c r="E49" s="147">
        <f t="shared" si="10"/>
        <v>0</v>
      </c>
      <c r="F49" s="147">
        <f t="shared" si="10"/>
        <v>0</v>
      </c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S49" s="155">
        <f>SUMIF('Flt III'!D:D,A49,'Flt III'!E:E)/3.2808^2</f>
        <v>41.342858252199505</v>
      </c>
      <c r="T49" s="155">
        <f>SUMIF('Flt IIa'!A:A,A49,'Flt IIa'!E:E)/3.2808^2</f>
        <v>0</v>
      </c>
      <c r="U49" s="155">
        <f>SUMIF('OPC Des'!A:A,A49,'OPC Des'!F:F)/3.2808^2</f>
        <v>0</v>
      </c>
      <c r="V49" s="155">
        <f>SUMIF('LCS 5'!A:A,A49,'LCS 5'!E:E)</f>
        <v>0</v>
      </c>
      <c r="W49" s="155">
        <f>SUMIF('USCG Summary'!$A$25:$A$50,A49,'USCG Summary'!$F$25:$F$50)/3.2808^2</f>
        <v>0</v>
      </c>
      <c r="X49" s="155">
        <f>SUMIF('USCG Summary'!$A$25:$A$50,A49,'USCG Summary'!$I$25:$I$50)/3.2808^2</f>
        <v>0</v>
      </c>
      <c r="Y49" s="155">
        <f>SUMIF('USCG Summary'!$A$25:$A$50,A49,'USCG Summary'!$L$25:$L$50)/3.2808^2</f>
        <v>0</v>
      </c>
      <c r="Z49" s="155">
        <f>SUMIF('USCG Summary'!$A$25:$A$50,A49,'USCG Summary'!$O$25:$O$50)/3.2808^2</f>
        <v>0</v>
      </c>
      <c r="AA49" s="155">
        <f>SUMIF('USCG Summary'!$A$25:$A$50,A49,'USCG Summary'!$P$25:$P$50)/3.2808^2</f>
        <v>0</v>
      </c>
      <c r="AB49" s="155">
        <f>SUMIF('USCG Summary'!$A$25:$A$50,A49,'USCG Summary'!$Q$25:$Q$50)/3.2808^2</f>
        <v>0</v>
      </c>
      <c r="AC49" s="155">
        <f>SUMIF('USCG Summary'!$A$25:$A$50,A49,'USCG Summary'!$T$25:$T$50)/3.2808^2</f>
        <v>0</v>
      </c>
      <c r="AD49" s="155">
        <f>SUMIF('USCG Summary'!$A$25:$A$50,A49,'USCG Summary'!$W$25:$W$50)/3.2808^2</f>
        <v>0</v>
      </c>
      <c r="AE49" s="155">
        <f>SUMIF('USCG Summary'!$A$25:$A$50,A49,'USCG Summary'!$Z$25:$Z$50)/3.2808^2</f>
        <v>0</v>
      </c>
      <c r="AF49" s="155">
        <f>SUMIF(Comp!$A$75:$A$400,Areas!A49,Comp!$F$75:$F$400)</f>
        <v>0</v>
      </c>
      <c r="AG49" s="155">
        <f>SUMIF(Comp!$A$75:$A$400,Areas!A49,Comp!$G$75:$G$400)</f>
        <v>0</v>
      </c>
      <c r="AH49" s="155"/>
      <c r="AI49" s="155">
        <f>SUMIF('Flt III'!D:D,A49,'Flt III'!F:F)/3.2808^3</f>
        <v>106.98494918806438</v>
      </c>
      <c r="AK49" s="147">
        <f>AI49</f>
        <v>106.98494918806438</v>
      </c>
    </row>
    <row r="50" spans="1:37" s="132" customFormat="1">
      <c r="A50" s="142">
        <v>1.1419999999999999</v>
      </c>
      <c r="B50" s="142" t="str">
        <f>Comp!B93</f>
        <v>TORPEDO</v>
      </c>
      <c r="C50" s="143">
        <f>SUM(C51)</f>
        <v>22.947608962456801</v>
      </c>
      <c r="D50" s="143">
        <f t="shared" si="10"/>
        <v>18.488154589185843</v>
      </c>
      <c r="E50" s="143">
        <f t="shared" si="10"/>
        <v>0</v>
      </c>
      <c r="F50" s="143">
        <f t="shared" si="10"/>
        <v>0</v>
      </c>
      <c r="G50" s="143"/>
      <c r="H50" s="143"/>
      <c r="I50" s="143"/>
      <c r="J50" s="143"/>
      <c r="K50" s="143"/>
      <c r="L50" s="143"/>
      <c r="M50" s="143"/>
      <c r="N50" s="143"/>
      <c r="O50" s="143"/>
      <c r="P50" s="143">
        <f>AF50</f>
        <v>0</v>
      </c>
      <c r="Q50" s="143">
        <f>AG50</f>
        <v>0</v>
      </c>
      <c r="S50" s="154">
        <f>SUMIF('Flt III'!D:D,A50,'Flt III'!E:E)/3.2808^2</f>
        <v>0</v>
      </c>
      <c r="T50" s="154">
        <f>SUMIF('Flt IIa'!A:A,A50,'Flt IIa'!E:E)/3.2808^2</f>
        <v>18.488154589185843</v>
      </c>
      <c r="U50" s="154">
        <f>SUMIF('OPC Des'!A:A,A50,'OPC Des'!F:F)/3.2808^2</f>
        <v>0</v>
      </c>
      <c r="V50" s="154">
        <f>SUMIF('LCS 5'!A:A,A50,'LCS 5'!E:E)</f>
        <v>0</v>
      </c>
      <c r="W50" s="154">
        <f>SUMIF('USCG Summary'!$A$25:$A$50,A50,'USCG Summary'!$F$25:$F$50)/3.2808^2</f>
        <v>0</v>
      </c>
      <c r="X50" s="154">
        <f>SUMIF('USCG Summary'!$A$25:$A$50,A50,'USCG Summary'!$I$25:$I$50)/3.2808^2</f>
        <v>0</v>
      </c>
      <c r="Y50" s="154">
        <f>SUMIF('USCG Summary'!$A$25:$A$50,A50,'USCG Summary'!$L$25:$L$50)/3.2808^2</f>
        <v>0</v>
      </c>
      <c r="Z50" s="154">
        <f>SUMIF('USCG Summary'!$A$25:$A$50,A50,'USCG Summary'!$O$25:$O$50)/3.2808^2</f>
        <v>0</v>
      </c>
      <c r="AA50" s="154">
        <f>SUMIF('USCG Summary'!$A$25:$A$50,A50,'USCG Summary'!$P$25:$P$50)/3.2808^2</f>
        <v>0</v>
      </c>
      <c r="AB50" s="154">
        <f>SUMIF('USCG Summary'!$A$25:$A$50,A50,'USCG Summary'!$Q$25:$Q$50)/3.2808^2</f>
        <v>0</v>
      </c>
      <c r="AC50" s="154">
        <f>SUMIF('USCG Summary'!$A$25:$A$50,A50,'USCG Summary'!$T$25:$T$50)/3.2808^2</f>
        <v>0</v>
      </c>
      <c r="AD50" s="154">
        <f>SUMIF('USCG Summary'!$A$25:$A$50,A50,'USCG Summary'!$W$25:$W$50)/3.2808^2</f>
        <v>0</v>
      </c>
      <c r="AE50" s="154">
        <f>SUMIF('USCG Summary'!$A$25:$A$50,A50,'USCG Summary'!$Z$25:$Z$50)/3.2808^2</f>
        <v>0</v>
      </c>
      <c r="AF50" s="154">
        <f>SUMIF(Comp!$A$75:$A$400,Areas!A50,Comp!$F$75:$F$400)</f>
        <v>0</v>
      </c>
      <c r="AG50" s="154">
        <f>SUMIF(Comp!$A$75:$A$400,Areas!A50,Comp!$G$75:$G$400)</f>
        <v>0</v>
      </c>
      <c r="AH50" s="154"/>
      <c r="AI50" s="154">
        <f>SUMIF('Flt III'!D:D,A50,'Flt III'!F:F)/3.2808^3</f>
        <v>0</v>
      </c>
      <c r="AK50" s="143">
        <f>SUM(AK51)</f>
        <v>81.385586015483597</v>
      </c>
    </row>
    <row r="51" spans="1:37" s="148" customFormat="1">
      <c r="A51" s="146" t="s">
        <v>1367</v>
      </c>
      <c r="B51" s="146"/>
      <c r="C51" s="147">
        <f>S51</f>
        <v>22.947608962456801</v>
      </c>
      <c r="D51" s="147">
        <f t="shared" si="10"/>
        <v>0</v>
      </c>
      <c r="E51" s="147">
        <f t="shared" si="10"/>
        <v>0</v>
      </c>
      <c r="F51" s="147">
        <f t="shared" si="10"/>
        <v>0</v>
      </c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S51" s="155">
        <f>SUMIF('Flt III'!D:D,A51,'Flt III'!E:E)/3.2808^2</f>
        <v>22.947608962456801</v>
      </c>
      <c r="T51" s="155">
        <f>SUMIF('Flt IIa'!A:A,A51,'Flt IIa'!E:E)/3.2808^2</f>
        <v>0</v>
      </c>
      <c r="U51" s="155">
        <f>SUMIF('OPC Des'!A:A,A51,'OPC Des'!F:F)/3.2808^2</f>
        <v>0</v>
      </c>
      <c r="V51" s="155">
        <f>SUMIF('LCS 5'!A:A,A51,'LCS 5'!E:E)</f>
        <v>0</v>
      </c>
      <c r="W51" s="155">
        <f>SUMIF('USCG Summary'!$A$25:$A$50,A51,'USCG Summary'!$F$25:$F$50)/3.2808^2</f>
        <v>0</v>
      </c>
      <c r="X51" s="155">
        <f>SUMIF('USCG Summary'!$A$25:$A$50,A51,'USCG Summary'!$I$25:$I$50)/3.2808^2</f>
        <v>0</v>
      </c>
      <c r="Y51" s="155">
        <f>SUMIF('USCG Summary'!$A$25:$A$50,A51,'USCG Summary'!$L$25:$L$50)/3.2808^2</f>
        <v>0</v>
      </c>
      <c r="Z51" s="155">
        <f>SUMIF('USCG Summary'!$A$25:$A$50,A51,'USCG Summary'!$O$25:$O$50)/3.2808^2</f>
        <v>0</v>
      </c>
      <c r="AA51" s="155">
        <f>SUMIF('USCG Summary'!$A$25:$A$50,A51,'USCG Summary'!$P$25:$P$50)/3.2808^2</f>
        <v>0</v>
      </c>
      <c r="AB51" s="155">
        <f>SUMIF('USCG Summary'!$A$25:$A$50,A51,'USCG Summary'!$Q$25:$Q$50)/3.2808^2</f>
        <v>0</v>
      </c>
      <c r="AC51" s="155">
        <f>SUMIF('USCG Summary'!$A$25:$A$50,A51,'USCG Summary'!$T$25:$T$50)/3.2808^2</f>
        <v>0</v>
      </c>
      <c r="AD51" s="155">
        <f>SUMIF('USCG Summary'!$A$25:$A$50,A51,'USCG Summary'!$W$25:$W$50)/3.2808^2</f>
        <v>0</v>
      </c>
      <c r="AE51" s="155">
        <f>SUMIF('USCG Summary'!$A$25:$A$50,A51,'USCG Summary'!$Z$25:$Z$50)/3.2808^2</f>
        <v>0</v>
      </c>
      <c r="AF51" s="155">
        <f>SUMIF(Comp!$A$75:$A$400,Areas!A51,Comp!$F$75:$F$400)</f>
        <v>0</v>
      </c>
      <c r="AG51" s="155">
        <f>SUMIF(Comp!$A$75:$A$400,Areas!A51,Comp!$G$75:$G$400)</f>
        <v>0</v>
      </c>
      <c r="AH51" s="155"/>
      <c r="AI51" s="155">
        <f>SUMIF('Flt III'!D:D,A51,'Flt III'!F:F)/3.2808^3</f>
        <v>81.385586015483597</v>
      </c>
      <c r="AK51" s="147">
        <f>AI51</f>
        <v>81.385586015483597</v>
      </c>
    </row>
    <row r="52" spans="1:37" s="132" customFormat="1">
      <c r="A52" s="142">
        <v>1.143</v>
      </c>
      <c r="B52" s="142" t="str">
        <f>Comp!B94</f>
        <v>MISSILE</v>
      </c>
      <c r="C52" s="143">
        <f>SUM(C53)</f>
        <v>1.6722953899766091</v>
      </c>
      <c r="D52" s="143">
        <f>SUM(D53)</f>
        <v>0</v>
      </c>
      <c r="E52" s="143">
        <f>SUM(E53)</f>
        <v>0</v>
      </c>
      <c r="F52" s="143">
        <f>SUM(F53)</f>
        <v>0</v>
      </c>
      <c r="G52" s="143"/>
      <c r="H52" s="143"/>
      <c r="I52" s="143"/>
      <c r="J52" s="143"/>
      <c r="K52" s="143"/>
      <c r="L52" s="143"/>
      <c r="M52" s="143"/>
      <c r="N52" s="143"/>
      <c r="O52" s="143"/>
      <c r="P52" s="143">
        <f>AF52</f>
        <v>0</v>
      </c>
      <c r="Q52" s="143">
        <f>AG52</f>
        <v>0</v>
      </c>
      <c r="S52" s="154">
        <f>SUMIF('Flt III'!D:D,A52,'Flt III'!E:E)/3.2808^2</f>
        <v>0</v>
      </c>
      <c r="T52" s="154">
        <f>SUMIF('Flt IIa'!A:A,A52,'Flt IIa'!E:E)/3.2808^2</f>
        <v>0</v>
      </c>
      <c r="U52" s="154">
        <f>SUMIF('OPC Des'!A:A,A52,'OPC Des'!F:F)/3.2808^2</f>
        <v>0</v>
      </c>
      <c r="V52" s="154">
        <f>SUMIF('LCS 5'!A:A,A52,'LCS 5'!E:E)</f>
        <v>0</v>
      </c>
      <c r="W52" s="154">
        <f>SUMIF('USCG Summary'!$A$25:$A$50,A52,'USCG Summary'!$F$25:$F$50)/3.2808^2</f>
        <v>0</v>
      </c>
      <c r="X52" s="154">
        <f>SUMIF('USCG Summary'!$A$25:$A$50,A52,'USCG Summary'!$I$25:$I$50)/3.2808^2</f>
        <v>0</v>
      </c>
      <c r="Y52" s="154">
        <f>SUMIF('USCG Summary'!$A$25:$A$50,A52,'USCG Summary'!$L$25:$L$50)/3.2808^2</f>
        <v>0</v>
      </c>
      <c r="Z52" s="154">
        <f>SUMIF('USCG Summary'!$A$25:$A$50,A52,'USCG Summary'!$O$25:$O$50)/3.2808^2</f>
        <v>0</v>
      </c>
      <c r="AA52" s="154">
        <f>SUMIF('USCG Summary'!$A$25:$A$50,A52,'USCG Summary'!$P$25:$P$50)/3.2808^2</f>
        <v>0</v>
      </c>
      <c r="AB52" s="154">
        <f>SUMIF('USCG Summary'!$A$25:$A$50,A52,'USCG Summary'!$Q$25:$Q$50)/3.2808^2</f>
        <v>0</v>
      </c>
      <c r="AC52" s="154">
        <f>SUMIF('USCG Summary'!$A$25:$A$50,A52,'USCG Summary'!$T$25:$T$50)/3.2808^2</f>
        <v>0</v>
      </c>
      <c r="AD52" s="154">
        <f>SUMIF('USCG Summary'!$A$25:$A$50,A52,'USCG Summary'!$W$25:$W$50)/3.2808^2</f>
        <v>0</v>
      </c>
      <c r="AE52" s="154">
        <f>SUMIF('USCG Summary'!$A$25:$A$50,A52,'USCG Summary'!$Z$25:$Z$50)/3.2808^2</f>
        <v>0</v>
      </c>
      <c r="AF52" s="154">
        <f>SUMIF(Comp!$A$75:$A$400,Areas!A52,Comp!$F$75:$F$400)</f>
        <v>0</v>
      </c>
      <c r="AG52" s="154">
        <f>SUMIF(Comp!$A$75:$A$400,Areas!A52,Comp!$G$75:$G$400)</f>
        <v>0</v>
      </c>
      <c r="AH52" s="154"/>
      <c r="AI52" s="154">
        <f>SUMIF('Flt III'!D:D,A52,'Flt III'!F:F)/3.2808^3</f>
        <v>0</v>
      </c>
      <c r="AK52" s="143">
        <f>SUM(AK53)</f>
        <v>17.783628398651253</v>
      </c>
    </row>
    <row r="53" spans="1:37" s="148" customFormat="1">
      <c r="A53" s="146" t="s">
        <v>1364</v>
      </c>
      <c r="B53" s="146"/>
      <c r="C53" s="147">
        <f>S53</f>
        <v>1.6722953899766091</v>
      </c>
      <c r="D53" s="147">
        <f>T53</f>
        <v>0</v>
      </c>
      <c r="E53" s="147">
        <f>U53</f>
        <v>0</v>
      </c>
      <c r="F53" s="147">
        <f>V53</f>
        <v>0</v>
      </c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S53" s="155">
        <f>SUMIF('Flt III'!D:D,A53,'Flt III'!E:E)/3.2808^2</f>
        <v>1.6722953899766091</v>
      </c>
      <c r="T53" s="155">
        <f>SUMIF('Flt IIa'!A:A,A53,'Flt IIa'!E:E)/3.2808^2</f>
        <v>0</v>
      </c>
      <c r="U53" s="155">
        <f>SUMIF('OPC Des'!A:A,A53,'OPC Des'!F:F)/3.2808^2</f>
        <v>0</v>
      </c>
      <c r="V53" s="155">
        <f>SUMIF('LCS 5'!A:A,A53,'LCS 5'!E:E)</f>
        <v>0</v>
      </c>
      <c r="W53" s="155">
        <f>SUMIF('USCG Summary'!$A$25:$A$50,A53,'USCG Summary'!$F$25:$F$50)/3.2808^2</f>
        <v>0</v>
      </c>
      <c r="X53" s="155">
        <f>SUMIF('USCG Summary'!$A$25:$A$50,A53,'USCG Summary'!$I$25:$I$50)/3.2808^2</f>
        <v>0</v>
      </c>
      <c r="Y53" s="155">
        <f>SUMIF('USCG Summary'!$A$25:$A$50,A53,'USCG Summary'!$L$25:$L$50)/3.2808^2</f>
        <v>0</v>
      </c>
      <c r="Z53" s="155">
        <f>SUMIF('USCG Summary'!$A$25:$A$50,A53,'USCG Summary'!$O$25:$O$50)/3.2808^2</f>
        <v>0</v>
      </c>
      <c r="AA53" s="155">
        <f>SUMIF('USCG Summary'!$A$25:$A$50,A53,'USCG Summary'!$P$25:$P$50)/3.2808^2</f>
        <v>0</v>
      </c>
      <c r="AB53" s="155">
        <f>SUMIF('USCG Summary'!$A$25:$A$50,A53,'USCG Summary'!$Q$25:$Q$50)/3.2808^2</f>
        <v>0</v>
      </c>
      <c r="AC53" s="155">
        <f>SUMIF('USCG Summary'!$A$25:$A$50,A53,'USCG Summary'!$T$25:$T$50)/3.2808^2</f>
        <v>0</v>
      </c>
      <c r="AD53" s="155">
        <f>SUMIF('USCG Summary'!$A$25:$A$50,A53,'USCG Summary'!$W$25:$W$50)/3.2808^2</f>
        <v>0</v>
      </c>
      <c r="AE53" s="155">
        <f>SUMIF('USCG Summary'!$A$25:$A$50,A53,'USCG Summary'!$Z$25:$Z$50)/3.2808^2</f>
        <v>0</v>
      </c>
      <c r="AF53" s="155">
        <f>SUMIF(Comp!$A$75:$A$400,Areas!A53,Comp!$F$75:$F$400)</f>
        <v>0</v>
      </c>
      <c r="AG53" s="155">
        <f>SUMIF(Comp!$A$75:$A$400,Areas!A53,Comp!$G$75:$G$400)</f>
        <v>0</v>
      </c>
      <c r="AH53" s="155"/>
      <c r="AI53" s="155">
        <f>SUMIF('Flt III'!D:D,A53,'Flt III'!F:F)/3.2808^3</f>
        <v>17.783628398651253</v>
      </c>
      <c r="AK53" s="147">
        <f>AI53</f>
        <v>17.783628398651253</v>
      </c>
    </row>
    <row r="54" spans="1:37" s="132" customFormat="1">
      <c r="A54" s="142">
        <v>1.1439999999999999</v>
      </c>
      <c r="B54" s="142" t="str">
        <f>Comp!B95</f>
        <v>DLS</v>
      </c>
      <c r="C54" s="143">
        <f>SUM(C55)</f>
        <v>24.341188454103975</v>
      </c>
      <c r="D54" s="143">
        <f>SUM(D55)</f>
        <v>0</v>
      </c>
      <c r="E54" s="143">
        <f>SUM(E55)</f>
        <v>0</v>
      </c>
      <c r="F54" s="143">
        <f>SUM(F55)</f>
        <v>0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3">
        <f>AF54</f>
        <v>0</v>
      </c>
      <c r="Q54" s="143">
        <f>AG54</f>
        <v>0</v>
      </c>
      <c r="S54" s="154">
        <f>SUMIF('Flt III'!D:D,A54,'Flt III'!E:E)/3.2808^2</f>
        <v>0</v>
      </c>
      <c r="T54" s="154">
        <f>SUMIF('Flt IIa'!A:A,A54,'Flt IIa'!E:E)/3.2808^2</f>
        <v>0</v>
      </c>
      <c r="U54" s="154">
        <f>SUMIF('OPC Des'!A:A,A54,'OPC Des'!F:F)/3.2808^2</f>
        <v>0</v>
      </c>
      <c r="V54" s="154">
        <f>SUMIF('LCS 5'!A:A,A54,'LCS 5'!E:E)</f>
        <v>0</v>
      </c>
      <c r="W54" s="154">
        <f>SUMIF('USCG Summary'!$A$25:$A$50,A54,'USCG Summary'!$F$25:$F$50)/3.2808^2</f>
        <v>0</v>
      </c>
      <c r="X54" s="154">
        <f>SUMIF('USCG Summary'!$A$25:$A$50,A54,'USCG Summary'!$I$25:$I$50)/3.2808^2</f>
        <v>0</v>
      </c>
      <c r="Y54" s="154">
        <f>SUMIF('USCG Summary'!$A$25:$A$50,A54,'USCG Summary'!$L$25:$L$50)/3.2808^2</f>
        <v>0</v>
      </c>
      <c r="Z54" s="154">
        <f>SUMIF('USCG Summary'!$A$25:$A$50,A54,'USCG Summary'!$O$25:$O$50)/3.2808^2</f>
        <v>0</v>
      </c>
      <c r="AA54" s="154">
        <f>SUMIF('USCG Summary'!$A$25:$A$50,A54,'USCG Summary'!$P$25:$P$50)/3.2808^2</f>
        <v>0</v>
      </c>
      <c r="AB54" s="154">
        <f>SUMIF('USCG Summary'!$A$25:$A$50,A54,'USCG Summary'!$Q$25:$Q$50)/3.2808^2</f>
        <v>0</v>
      </c>
      <c r="AC54" s="154">
        <f>SUMIF('USCG Summary'!$A$25:$A$50,A54,'USCG Summary'!$T$25:$T$50)/3.2808^2</f>
        <v>0</v>
      </c>
      <c r="AD54" s="154">
        <f>SUMIF('USCG Summary'!$A$25:$A$50,A54,'USCG Summary'!$W$25:$W$50)/3.2808^2</f>
        <v>0</v>
      </c>
      <c r="AE54" s="154">
        <f>SUMIF('USCG Summary'!$A$25:$A$50,A54,'USCG Summary'!$Z$25:$Z$50)/3.2808^2</f>
        <v>0</v>
      </c>
      <c r="AF54" s="154">
        <f>SUMIF(Comp!$A$75:$A$400,Areas!A54,Comp!$F$75:$F$400)</f>
        <v>0</v>
      </c>
      <c r="AG54" s="154">
        <f>SUMIF(Comp!$A$75:$A$400,Areas!A54,Comp!$G$75:$G$400)</f>
        <v>0</v>
      </c>
      <c r="AH54" s="154"/>
      <c r="AI54" s="154">
        <f>SUMIF('Flt III'!D:D,A54,'Flt III'!F:F)/3.2808^3</f>
        <v>0</v>
      </c>
      <c r="AK54" s="143">
        <f>SUM(AK55)</f>
        <v>54.76677917673809</v>
      </c>
    </row>
    <row r="55" spans="1:37" s="148" customFormat="1">
      <c r="A55" s="146" t="s">
        <v>1359</v>
      </c>
      <c r="B55" s="146"/>
      <c r="C55" s="147">
        <f>S55</f>
        <v>24.341188454103975</v>
      </c>
      <c r="D55" s="147">
        <f>T55</f>
        <v>0</v>
      </c>
      <c r="E55" s="147">
        <f>U55</f>
        <v>0</v>
      </c>
      <c r="F55" s="147">
        <f>V55</f>
        <v>0</v>
      </c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S55" s="155">
        <f>SUMIF('Flt III'!D:D,A55,'Flt III'!E:E)/3.2808^2</f>
        <v>24.341188454103975</v>
      </c>
      <c r="T55" s="155">
        <f>SUMIF('Flt IIa'!A:A,A55,'Flt IIa'!E:E)/3.2808^2</f>
        <v>0</v>
      </c>
      <c r="U55" s="155">
        <f>SUMIF('OPC Des'!A:A,A55,'OPC Des'!F:F)/3.2808^2</f>
        <v>0</v>
      </c>
      <c r="V55" s="155">
        <f>SUMIF('LCS 5'!A:A,A55,'LCS 5'!E:E)</f>
        <v>0</v>
      </c>
      <c r="W55" s="155">
        <f>SUMIF('USCG Summary'!$A$25:$A$50,A55,'USCG Summary'!$F$25:$F$50)/3.2808^2</f>
        <v>0</v>
      </c>
      <c r="X55" s="155">
        <f>SUMIF('USCG Summary'!$A$25:$A$50,A55,'USCG Summary'!$I$25:$I$50)/3.2808^2</f>
        <v>0</v>
      </c>
      <c r="Y55" s="155">
        <f>SUMIF('USCG Summary'!$A$25:$A$50,A55,'USCG Summary'!$L$25:$L$50)/3.2808^2</f>
        <v>0</v>
      </c>
      <c r="Z55" s="155">
        <f>SUMIF('USCG Summary'!$A$25:$A$50,A55,'USCG Summary'!$O$25:$O$50)/3.2808^2</f>
        <v>0</v>
      </c>
      <c r="AA55" s="155">
        <f>SUMIF('USCG Summary'!$A$25:$A$50,A55,'USCG Summary'!$P$25:$P$50)/3.2808^2</f>
        <v>0</v>
      </c>
      <c r="AB55" s="155">
        <f>SUMIF('USCG Summary'!$A$25:$A$50,A55,'USCG Summary'!$Q$25:$Q$50)/3.2808^2</f>
        <v>0</v>
      </c>
      <c r="AC55" s="155">
        <f>SUMIF('USCG Summary'!$A$25:$A$50,A55,'USCG Summary'!$T$25:$T$50)/3.2808^2</f>
        <v>0</v>
      </c>
      <c r="AD55" s="155">
        <f>SUMIF('USCG Summary'!$A$25:$A$50,A55,'USCG Summary'!$W$25:$W$50)/3.2808^2</f>
        <v>0</v>
      </c>
      <c r="AE55" s="155">
        <f>SUMIF('USCG Summary'!$A$25:$A$50,A55,'USCG Summary'!$Z$25:$Z$50)/3.2808^2</f>
        <v>0</v>
      </c>
      <c r="AF55" s="155">
        <f>SUMIF(Comp!$A$75:$A$400,Areas!A55,Comp!$F$75:$F$400)</f>
        <v>0</v>
      </c>
      <c r="AG55" s="155">
        <f>SUMIF(Comp!$A$75:$A$400,Areas!A55,Comp!$G$75:$G$400)</f>
        <v>0</v>
      </c>
      <c r="AH55" s="155"/>
      <c r="AI55" s="155">
        <f>SUMIF('Flt III'!D:D,A55,'Flt III'!F:F)/3.2808^3</f>
        <v>54.76677917673809</v>
      </c>
      <c r="AK55" s="147">
        <f>AI55</f>
        <v>54.76677917673809</v>
      </c>
    </row>
    <row r="56" spans="1:37" s="134" customFormat="1">
      <c r="A56" s="140">
        <v>1.1499999999999999</v>
      </c>
      <c r="B56" s="140" t="str">
        <f>Comp!B96</f>
        <v>INTERIOR COMMUNICATIONS</v>
      </c>
      <c r="C56" s="149">
        <f>IF(S56=0,SUM(C57),S56)</f>
        <v>73.488091859527657</v>
      </c>
      <c r="D56" s="149">
        <f>IF(T56=0,SUM(D57),T56)</f>
        <v>73.488091859527657</v>
      </c>
      <c r="E56" s="149">
        <f>IF(U56=0,SUM(E57),U56)</f>
        <v>0</v>
      </c>
      <c r="F56" s="149">
        <f>IF(V56=0,SUM(F57),V56)</f>
        <v>25.62</v>
      </c>
      <c r="G56" s="149"/>
      <c r="H56" s="149"/>
      <c r="I56" s="149"/>
      <c r="J56" s="149"/>
      <c r="K56" s="149"/>
      <c r="L56" s="149"/>
      <c r="M56" s="149"/>
      <c r="N56" s="149"/>
      <c r="O56" s="149"/>
      <c r="P56" s="149">
        <f>AF56</f>
        <v>105.8</v>
      </c>
      <c r="Q56" s="149">
        <f>AG56</f>
        <v>108</v>
      </c>
      <c r="S56" s="153">
        <f>SUMIF('Flt III'!D:D,A56,'Flt III'!E:E)/3.2808^2</f>
        <v>0</v>
      </c>
      <c r="T56" s="153">
        <f>SUMIF('Flt IIa'!A:A,A56,'Flt IIa'!E:E)/3.2808^2</f>
        <v>73.488091859527657</v>
      </c>
      <c r="U56" s="153">
        <f>SUMIF('OPC Des'!A:A,A56,'OPC Des'!F:F)/3.2808^2</f>
        <v>0</v>
      </c>
      <c r="V56" s="153">
        <f>SUMIF('LCS 5'!A:A,A56,'LCS 5'!E:E)</f>
        <v>0</v>
      </c>
      <c r="W56" s="153">
        <f>SUMIF('USCG Summary'!$A$25:$A$50,A56,'USCG Summary'!$F$25:$F$50)/3.2808^2</f>
        <v>0</v>
      </c>
      <c r="X56" s="153">
        <f>SUMIF('USCG Summary'!$A$25:$A$50,A56,'USCG Summary'!$I$25:$I$50)/3.2808^2</f>
        <v>0</v>
      </c>
      <c r="Y56" s="153">
        <f>SUMIF('USCG Summary'!$A$25:$A$50,A56,'USCG Summary'!$L$25:$L$50)/3.2808^2</f>
        <v>0</v>
      </c>
      <c r="Z56" s="153">
        <f>SUMIF('USCG Summary'!$A$25:$A$50,A56,'USCG Summary'!$O$25:$O$50)/3.2808^2</f>
        <v>0</v>
      </c>
      <c r="AA56" s="153">
        <f>SUMIF('USCG Summary'!$A$25:$A$50,A56,'USCG Summary'!$P$25:$P$50)/3.2808^2</f>
        <v>0</v>
      </c>
      <c r="AB56" s="153">
        <f>SUMIF('USCG Summary'!$A$25:$A$50,A56,'USCG Summary'!$Q$25:$Q$50)/3.2808^2</f>
        <v>0</v>
      </c>
      <c r="AC56" s="153">
        <f>SUMIF('USCG Summary'!$A$25:$A$50,A56,'USCG Summary'!$T$25:$T$50)/3.2808^2</f>
        <v>0</v>
      </c>
      <c r="AD56" s="153">
        <f>SUMIF('USCG Summary'!$A$25:$A$50,A56,'USCG Summary'!$W$25:$W$50)/3.2808^2</f>
        <v>0</v>
      </c>
      <c r="AE56" s="153">
        <f>SUMIF('USCG Summary'!$A$25:$A$50,A56,'USCG Summary'!$Z$25:$Z$50)/3.2808^2</f>
        <v>0</v>
      </c>
      <c r="AF56" s="153">
        <f>SUMIF(Comp!$A$75:$A$400,Areas!A56,Comp!$F$75:$F$400)</f>
        <v>105.8</v>
      </c>
      <c r="AG56" s="153">
        <f>SUMIF(Comp!$A$75:$A$400,Areas!A56,Comp!$G$75:$G$400)</f>
        <v>108</v>
      </c>
      <c r="AH56" s="153"/>
      <c r="AI56" s="153">
        <f>SUMIF('Flt III'!D:D,A56,'Flt III'!F:F)/3.2808^3</f>
        <v>0</v>
      </c>
      <c r="AK56" s="149">
        <f>IF(AI56=0,SUM(AK57),AI56)</f>
        <v>216.97159361539155</v>
      </c>
    </row>
    <row r="57" spans="1:37" s="148" customFormat="1">
      <c r="A57" s="146">
        <v>1.15001</v>
      </c>
      <c r="B57" s="146"/>
      <c r="C57" s="147">
        <f t="shared" ref="C57:F58" si="11">S57</f>
        <v>73.488091859527657</v>
      </c>
      <c r="D57" s="147">
        <f t="shared" si="11"/>
        <v>0</v>
      </c>
      <c r="E57" s="147">
        <f t="shared" si="11"/>
        <v>0</v>
      </c>
      <c r="F57" s="147">
        <f t="shared" si="11"/>
        <v>25.62</v>
      </c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S57" s="155">
        <f>SUMIF('Flt III'!D:D,A57,'Flt III'!E:E)/3.2808^2</f>
        <v>73.488091859527657</v>
      </c>
      <c r="T57" s="155">
        <f>SUMIF('Flt IIa'!A:A,A57,'Flt IIa'!E:E)/3.2808^2</f>
        <v>0</v>
      </c>
      <c r="U57" s="155">
        <f>SUMIF('OPC Des'!A:A,A57,'OPC Des'!F:F)/3.2808^2</f>
        <v>0</v>
      </c>
      <c r="V57" s="155">
        <f>SUMIF('LCS 5'!A:A,A57,'LCS 5'!E:E)</f>
        <v>25.62</v>
      </c>
      <c r="W57" s="155">
        <f>SUMIF('USCG Summary'!$A$25:$A$50,A57,'USCG Summary'!$F$25:$F$50)/3.2808^2</f>
        <v>0</v>
      </c>
      <c r="X57" s="155">
        <f>SUMIF('USCG Summary'!$A$25:$A$50,A57,'USCG Summary'!$I$25:$I$50)/3.2808^2</f>
        <v>0</v>
      </c>
      <c r="Y57" s="155">
        <f>SUMIF('USCG Summary'!$A$25:$A$50,A57,'USCG Summary'!$L$25:$L$50)/3.2808^2</f>
        <v>0</v>
      </c>
      <c r="Z57" s="155">
        <f>SUMIF('USCG Summary'!$A$25:$A$50,A57,'USCG Summary'!$O$25:$O$50)/3.2808^2</f>
        <v>0</v>
      </c>
      <c r="AA57" s="155">
        <f>SUMIF('USCG Summary'!$A$25:$A$50,A57,'USCG Summary'!$P$25:$P$50)/3.2808^2</f>
        <v>0</v>
      </c>
      <c r="AB57" s="155">
        <f>SUMIF('USCG Summary'!$A$25:$A$50,A57,'USCG Summary'!$Q$25:$Q$50)/3.2808^2</f>
        <v>0</v>
      </c>
      <c r="AC57" s="155">
        <f>SUMIF('USCG Summary'!$A$25:$A$50,A57,'USCG Summary'!$T$25:$T$50)/3.2808^2</f>
        <v>0</v>
      </c>
      <c r="AD57" s="155">
        <f>SUMIF('USCG Summary'!$A$25:$A$50,A57,'USCG Summary'!$W$25:$W$50)/3.2808^2</f>
        <v>0</v>
      </c>
      <c r="AE57" s="155">
        <f>SUMIF('USCG Summary'!$A$25:$A$50,A57,'USCG Summary'!$Z$25:$Z$50)/3.2808^2</f>
        <v>0</v>
      </c>
      <c r="AF57" s="155">
        <f>SUMIF(Comp!$A$75:$A$400,Areas!A57,Comp!$F$75:$F$400)</f>
        <v>0</v>
      </c>
      <c r="AG57" s="155">
        <f>SUMIF(Comp!$A$75:$A$400,Areas!A57,Comp!$G$75:$G$400)</f>
        <v>0</v>
      </c>
      <c r="AH57" s="155"/>
      <c r="AI57" s="155">
        <f>SUMIF('Flt III'!D:D,A57,'Flt III'!F:F)/3.2808^3</f>
        <v>216.97159361539155</v>
      </c>
      <c r="AK57" s="147">
        <f>AI57</f>
        <v>216.97159361539155</v>
      </c>
    </row>
    <row r="58" spans="1:37" s="134" customFormat="1">
      <c r="A58" s="140">
        <v>1.1599999999999999</v>
      </c>
      <c r="B58" s="140" t="str">
        <f>Comp!B97</f>
        <v>ENVIRONMENTAL CNTL SUP SYS</v>
      </c>
      <c r="C58" s="149">
        <f t="shared" si="11"/>
        <v>0</v>
      </c>
      <c r="D58" s="149">
        <f t="shared" si="11"/>
        <v>0</v>
      </c>
      <c r="E58" s="149">
        <f t="shared" si="11"/>
        <v>0</v>
      </c>
      <c r="F58" s="149">
        <f t="shared" si="11"/>
        <v>0</v>
      </c>
      <c r="G58" s="149"/>
      <c r="H58" s="149"/>
      <c r="I58" s="149"/>
      <c r="J58" s="149"/>
      <c r="K58" s="149"/>
      <c r="L58" s="149"/>
      <c r="M58" s="149"/>
      <c r="N58" s="149"/>
      <c r="O58" s="149"/>
      <c r="P58" s="149">
        <f t="shared" ref="P58:Q60" si="12">AF58</f>
        <v>0</v>
      </c>
      <c r="Q58" s="149">
        <f t="shared" si="12"/>
        <v>0</v>
      </c>
      <c r="S58" s="153">
        <f>SUMIF('Flt III'!D:D,A58,'Flt III'!E:E)/3.2808^2</f>
        <v>0</v>
      </c>
      <c r="T58" s="153">
        <f>SUMIF('Flt IIa'!A:A,A58,'Flt IIa'!E:E)/3.2808^2</f>
        <v>0</v>
      </c>
      <c r="U58" s="153">
        <f>SUMIF('OPC Des'!A:A,A58,'OPC Des'!F:F)/3.2808^2</f>
        <v>0</v>
      </c>
      <c r="V58" s="153">
        <f>SUMIF('LCS 5'!A:A,A58,'LCS 5'!E:E)</f>
        <v>0</v>
      </c>
      <c r="W58" s="153">
        <f>SUMIF('USCG Summary'!$A$25:$A$50,A58,'USCG Summary'!$F$25:$F$50)/3.2808^2</f>
        <v>0</v>
      </c>
      <c r="X58" s="153">
        <f>SUMIF('USCG Summary'!$A$25:$A$50,A58,'USCG Summary'!$I$25:$I$50)/3.2808^2</f>
        <v>0</v>
      </c>
      <c r="Y58" s="153">
        <f>SUMIF('USCG Summary'!$A$25:$A$50,A58,'USCG Summary'!$L$25:$L$50)/3.2808^2</f>
        <v>0</v>
      </c>
      <c r="Z58" s="153">
        <f>SUMIF('USCG Summary'!$A$25:$A$50,A58,'USCG Summary'!$O$25:$O$50)/3.2808^2</f>
        <v>0</v>
      </c>
      <c r="AA58" s="153">
        <f>SUMIF('USCG Summary'!$A$25:$A$50,A58,'USCG Summary'!$P$25:$P$50)/3.2808^2</f>
        <v>0</v>
      </c>
      <c r="AB58" s="153">
        <f>SUMIF('USCG Summary'!$A$25:$A$50,A58,'USCG Summary'!$Q$25:$Q$50)/3.2808^2</f>
        <v>0</v>
      </c>
      <c r="AC58" s="153">
        <f>SUMIF('USCG Summary'!$A$25:$A$50,A58,'USCG Summary'!$T$25:$T$50)/3.2808^2</f>
        <v>0</v>
      </c>
      <c r="AD58" s="153">
        <f>SUMIF('USCG Summary'!$A$25:$A$50,A58,'USCG Summary'!$W$25:$W$50)/3.2808^2</f>
        <v>0</v>
      </c>
      <c r="AE58" s="153">
        <f>SUMIF('USCG Summary'!$A$25:$A$50,A58,'USCG Summary'!$Z$25:$Z$50)/3.2808^2</f>
        <v>0</v>
      </c>
      <c r="AF58" s="153">
        <f>SUMIF(Comp!$A$75:$A$400,Areas!A58,Comp!$F$75:$F$400)</f>
        <v>0</v>
      </c>
      <c r="AG58" s="153">
        <f>SUMIF(Comp!$A$75:$A$400,Areas!A58,Comp!$G$75:$G$400)</f>
        <v>0</v>
      </c>
      <c r="AH58" s="153"/>
      <c r="AI58" s="153">
        <f>SUMIF('Flt III'!D:D,A58,'Flt III'!F:F)/3.2808^3</f>
        <v>0</v>
      </c>
      <c r="AK58" s="149">
        <f>AI58</f>
        <v>0</v>
      </c>
    </row>
    <row r="59" spans="1:37" s="139" customFormat="1">
      <c r="A59" s="137">
        <v>1.2</v>
      </c>
      <c r="B59" s="137" t="str">
        <f>Comp!B98</f>
        <v>WEAPONS</v>
      </c>
      <c r="C59" s="150">
        <f>C60+C70+C77+C79+SUM(C81:C84)</f>
        <v>415.75121500807364</v>
      </c>
      <c r="D59" s="150">
        <f>D60+D70+D77+D79+SUM(D81:D84)+T59</f>
        <v>127.28026023710858</v>
      </c>
      <c r="E59" s="150">
        <f>E60+E70+E77+E79+SUM(E81:E84)+U59</f>
        <v>0</v>
      </c>
      <c r="F59" s="150">
        <f>F60+F70+F77+F79+SUM(F81:F84)+V59</f>
        <v>140.5</v>
      </c>
      <c r="G59" s="150">
        <f>W59</f>
        <v>0</v>
      </c>
      <c r="H59" s="150">
        <f>X59</f>
        <v>0.37162119777257979</v>
      </c>
      <c r="I59" s="150">
        <f>Y59</f>
        <v>4.1807384749415224</v>
      </c>
      <c r="J59" s="150">
        <f t="shared" ref="J59:O59" si="13">Z59</f>
        <v>7.0608027576790162</v>
      </c>
      <c r="K59" s="150"/>
      <c r="L59" s="150">
        <f t="shared" si="13"/>
        <v>41.993195348301519</v>
      </c>
      <c r="M59" s="150">
        <f t="shared" si="13"/>
        <v>76.786229989759306</v>
      </c>
      <c r="N59" s="150">
        <f t="shared" si="13"/>
        <v>41.807384749415228</v>
      </c>
      <c r="O59" s="150">
        <f t="shared" si="13"/>
        <v>116.68905610059005</v>
      </c>
      <c r="P59" s="150">
        <f t="shared" si="12"/>
        <v>0</v>
      </c>
      <c r="Q59" s="150">
        <f t="shared" si="12"/>
        <v>0</v>
      </c>
      <c r="S59" s="152">
        <f>SUMIF('Flt III'!D:D,A59,'Flt III'!E:E)/3.2808^2</f>
        <v>0</v>
      </c>
      <c r="T59" s="152">
        <f>SUMIF('Flt IIa'!A:A,A59,'Flt IIa'!E:E)/3.2808^2</f>
        <v>5.9459391643612767</v>
      </c>
      <c r="U59" s="152">
        <f>SUMIF('OPC Des'!A:A,A59,'OPC Des'!F:F)/3.2808^2</f>
        <v>0</v>
      </c>
      <c r="V59" s="152">
        <f>SUMIF('LCS 5'!A:A,A59,'LCS 5'!E:E)</f>
        <v>140.5</v>
      </c>
      <c r="W59" s="152">
        <f>SUMIF('USCG Summary'!$A$25:$A$50,A59,'USCG Summary'!$F$25:$F$50)/3.2808^2</f>
        <v>0</v>
      </c>
      <c r="X59" s="152">
        <f>SUMIF('USCG Summary'!$A$25:$A$50,A59,'USCG Summary'!$I$25:$I$50)/3.2808^2</f>
        <v>0.37162119777257979</v>
      </c>
      <c r="Y59" s="152">
        <f>SUMIF('USCG Summary'!$A$25:$A$50,A59,'USCG Summary'!$L$25:$L$50)/3.2808^2</f>
        <v>4.1807384749415224</v>
      </c>
      <c r="Z59" s="152">
        <f>SUMIF('USCG Summary'!$A$25:$A$50,A59,'USCG Summary'!$O$25:$O$50)/3.2808^2</f>
        <v>7.0608027576790162</v>
      </c>
      <c r="AA59" s="152">
        <f>SUMIF('USCG Summary'!$A$25:$A$50,A59,'USCG Summary'!$P$25:$P$50)/3.2808^2</f>
        <v>0</v>
      </c>
      <c r="AB59" s="152">
        <f>SUMIF('USCG Summary'!$A$25:$A$50,A59,'USCG Summary'!$Q$25:$Q$50)/3.2808^2</f>
        <v>41.993195348301519</v>
      </c>
      <c r="AC59" s="152">
        <f>SUMIF('USCG Summary'!$A$25:$A$50,A59,'USCG Summary'!$T$25:$T$50)/3.2808^2</f>
        <v>76.786229989759306</v>
      </c>
      <c r="AD59" s="152">
        <f>SUMIF('USCG Summary'!$A$25:$A$50,A59,'USCG Summary'!$W$25:$W$50)/3.2808^2</f>
        <v>41.807384749415228</v>
      </c>
      <c r="AE59" s="152">
        <f>SUMIF('USCG Summary'!$A$25:$A$50,A59,'USCG Summary'!$Z$25:$Z$50)/3.2808^2</f>
        <v>116.68905610059005</v>
      </c>
      <c r="AF59" s="152">
        <f>SUMIF(Comp!$A$75:$A$400,Areas!A59,Comp!$F$75:$F$400)</f>
        <v>0</v>
      </c>
      <c r="AG59" s="152">
        <f>SUMIF(Comp!$A$75:$A$400,Areas!A59,Comp!$G$75:$G$400)</f>
        <v>0</v>
      </c>
      <c r="AH59" s="152"/>
      <c r="AI59" s="152">
        <f>SUMIF('Flt III'!D:D,A59,'Flt III'!F:F)/3.2808^3</f>
        <v>0</v>
      </c>
      <c r="AK59" s="150">
        <f>AK60+AK70+AK77+AK79+SUM(AK81:AK84)</f>
        <v>1298.6296412957768</v>
      </c>
    </row>
    <row r="60" spans="1:37" s="134" customFormat="1">
      <c r="A60" s="140">
        <v>1.21</v>
      </c>
      <c r="B60" s="140" t="str">
        <f>Comp!B99</f>
        <v>GUNS</v>
      </c>
      <c r="C60" s="149">
        <f>IF(S60=0,SUM(C61:C69),S60)</f>
        <v>156.35961896281296</v>
      </c>
      <c r="D60" s="149">
        <f>IF(T60=0,SUM(D61:D69),T60)</f>
        <v>0</v>
      </c>
      <c r="E60" s="149">
        <f>IF(U60=0,SUM(E61:E69),U60)</f>
        <v>0</v>
      </c>
      <c r="F60" s="149">
        <f>IF(V60=0,SUM(F61:F69),V60)</f>
        <v>0</v>
      </c>
      <c r="G60" s="149"/>
      <c r="H60" s="149"/>
      <c r="I60" s="149"/>
      <c r="J60" s="149"/>
      <c r="K60" s="149"/>
      <c r="L60" s="149"/>
      <c r="M60" s="149"/>
      <c r="N60" s="149"/>
      <c r="O60" s="149"/>
      <c r="P60" s="149">
        <f t="shared" si="12"/>
        <v>0</v>
      </c>
      <c r="Q60" s="149">
        <f t="shared" si="12"/>
        <v>0</v>
      </c>
      <c r="S60" s="153">
        <f>SUMIF('Flt III'!D:D,A60,'Flt III'!E:E)/3.2808^2</f>
        <v>0</v>
      </c>
      <c r="T60" s="153">
        <f>SUMIF('Flt IIa'!A:A,A60,'Flt IIa'!E:E)/3.2808^2</f>
        <v>0</v>
      </c>
      <c r="U60" s="153">
        <f>SUMIF('OPC Des'!A:A,A60,'OPC Des'!F:F)/3.2808^2</f>
        <v>0</v>
      </c>
      <c r="V60" s="153">
        <f>SUMIF('LCS 5'!A:A,A60,'LCS 5'!E:E)</f>
        <v>0</v>
      </c>
      <c r="W60" s="153">
        <f>SUMIF('USCG Summary'!$A$25:$A$50,A60,'USCG Summary'!$F$25:$F$50)/3.2808^2</f>
        <v>0</v>
      </c>
      <c r="X60" s="153">
        <f>SUMIF('USCG Summary'!$A$25:$A$50,A60,'USCG Summary'!$I$25:$I$50)/3.2808^2</f>
        <v>0</v>
      </c>
      <c r="Y60" s="153">
        <f>SUMIF('USCG Summary'!$A$25:$A$50,A60,'USCG Summary'!$L$25:$L$50)/3.2808^2</f>
        <v>0</v>
      </c>
      <c r="Z60" s="153">
        <f>SUMIF('USCG Summary'!$A$25:$A$50,A60,'USCG Summary'!$O$25:$O$50)/3.2808^2</f>
        <v>0</v>
      </c>
      <c r="AA60" s="153">
        <f>SUMIF('USCG Summary'!$A$25:$A$50,A60,'USCG Summary'!$P$25:$P$50)/3.2808^2</f>
        <v>0</v>
      </c>
      <c r="AB60" s="153">
        <f>SUMIF('USCG Summary'!$A$25:$A$50,A60,'USCG Summary'!$Q$25:$Q$50)/3.2808^2</f>
        <v>0</v>
      </c>
      <c r="AC60" s="153">
        <f>SUMIF('USCG Summary'!$A$25:$A$50,A60,'USCG Summary'!$T$25:$T$50)/3.2808^2</f>
        <v>0</v>
      </c>
      <c r="AD60" s="153">
        <f>SUMIF('USCG Summary'!$A$25:$A$50,A60,'USCG Summary'!$W$25:$W$50)/3.2808^2</f>
        <v>0</v>
      </c>
      <c r="AE60" s="153">
        <f>SUMIF('USCG Summary'!$A$25:$A$50,A60,'USCG Summary'!$Z$25:$Z$50)/3.2808^2</f>
        <v>0</v>
      </c>
      <c r="AF60" s="153">
        <f>SUMIF(Comp!$A$75:$A$400,Areas!A60,Comp!$F$75:$F$400)</f>
        <v>0</v>
      </c>
      <c r="AG60" s="153">
        <f>SUMIF(Comp!$A$75:$A$400,Areas!A60,Comp!$G$75:$G$400)</f>
        <v>0</v>
      </c>
      <c r="AH60" s="153"/>
      <c r="AI60" s="153">
        <f>SUMIF('Flt III'!D:D,A60,'Flt III'!F:F)/3.2808^3</f>
        <v>0</v>
      </c>
      <c r="AK60" s="149">
        <f>IF(AI60=0,SUM(AK61:AK69),AI60)</f>
        <v>441.10761077355181</v>
      </c>
    </row>
    <row r="61" spans="1:37" s="148" customFormat="1">
      <c r="A61" s="146" t="s">
        <v>1351</v>
      </c>
      <c r="B61" s="146"/>
      <c r="C61" s="147">
        <f t="shared" ref="C61:F69" si="14">S61</f>
        <v>1.951011288306044</v>
      </c>
      <c r="D61" s="147">
        <f t="shared" si="14"/>
        <v>0</v>
      </c>
      <c r="E61" s="147">
        <f t="shared" si="14"/>
        <v>0</v>
      </c>
      <c r="F61" s="147">
        <f t="shared" si="14"/>
        <v>0</v>
      </c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S61" s="155">
        <f>SUMIF('Flt III'!D:D,A61,'Flt III'!E:E)/3.2808^2</f>
        <v>1.951011288306044</v>
      </c>
      <c r="T61" s="155">
        <f>SUMIF('Flt IIa'!A:A,A61,'Flt IIa'!E:E)/3.2808^2</f>
        <v>0</v>
      </c>
      <c r="U61" s="155">
        <f>SUMIF('OPC Des'!A:A,A61,'OPC Des'!F:F)/3.2808^2</f>
        <v>0</v>
      </c>
      <c r="V61" s="155">
        <f>SUMIF('LCS 5'!A:A,A61,'LCS 5'!E:E)</f>
        <v>0</v>
      </c>
      <c r="W61" s="155">
        <f>SUMIF('USCG Summary'!$A$25:$A$50,A61,'USCG Summary'!$F$25:$F$50)/3.2808^2</f>
        <v>0</v>
      </c>
      <c r="X61" s="155">
        <f>SUMIF('USCG Summary'!$A$25:$A$50,A61,'USCG Summary'!$I$25:$I$50)/3.2808^2</f>
        <v>0</v>
      </c>
      <c r="Y61" s="155">
        <f>SUMIF('USCG Summary'!$A$25:$A$50,A61,'USCG Summary'!$L$25:$L$50)/3.2808^2</f>
        <v>0</v>
      </c>
      <c r="Z61" s="155">
        <f>SUMIF('USCG Summary'!$A$25:$A$50,A61,'USCG Summary'!$O$25:$O$50)/3.2808^2</f>
        <v>0</v>
      </c>
      <c r="AA61" s="155">
        <f>SUMIF('USCG Summary'!$A$25:$A$50,A61,'USCG Summary'!$P$25:$P$50)/3.2808^2</f>
        <v>0</v>
      </c>
      <c r="AB61" s="155">
        <f>SUMIF('USCG Summary'!$A$25:$A$50,A61,'USCG Summary'!$Q$25:$Q$50)/3.2808^2</f>
        <v>0</v>
      </c>
      <c r="AC61" s="155">
        <f>SUMIF('USCG Summary'!$A$25:$A$50,A61,'USCG Summary'!$T$25:$T$50)/3.2808^2</f>
        <v>0</v>
      </c>
      <c r="AD61" s="155">
        <f>SUMIF('USCG Summary'!$A$25:$A$50,A61,'USCG Summary'!$W$25:$W$50)/3.2808^2</f>
        <v>0</v>
      </c>
      <c r="AE61" s="155">
        <f>SUMIF('USCG Summary'!$A$25:$A$50,A61,'USCG Summary'!$Z$25:$Z$50)/3.2808^2</f>
        <v>0</v>
      </c>
      <c r="AF61" s="155">
        <f>SUMIF(Comp!$A$75:$A$400,Areas!A61,Comp!$F$75:$F$400)</f>
        <v>0</v>
      </c>
      <c r="AG61" s="155">
        <f>SUMIF(Comp!$A$75:$A$400,Areas!A61,Comp!$G$75:$G$400)</f>
        <v>0</v>
      </c>
      <c r="AH61" s="155"/>
      <c r="AI61" s="155">
        <f>SUMIF('Flt III'!D:D,A61,'Flt III'!F:F)/3.2808^3</f>
        <v>2.3787018877176833</v>
      </c>
      <c r="AK61" s="147">
        <f t="shared" ref="AK61:AK69" si="15">AI61</f>
        <v>2.3787018877176833</v>
      </c>
    </row>
    <row r="62" spans="1:37" s="148" customFormat="1">
      <c r="A62" s="146">
        <v>1.213031</v>
      </c>
      <c r="B62" s="146"/>
      <c r="C62" s="147">
        <f t="shared" si="14"/>
        <v>25.084430849649134</v>
      </c>
      <c r="D62" s="147">
        <f t="shared" si="14"/>
        <v>0</v>
      </c>
      <c r="E62" s="147">
        <f t="shared" si="14"/>
        <v>0</v>
      </c>
      <c r="F62" s="147">
        <f t="shared" si="14"/>
        <v>0</v>
      </c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S62" s="155">
        <f>SUMIF('Flt III'!D:D,A62,'Flt III'!E:E)/3.2808^2</f>
        <v>25.084430849649134</v>
      </c>
      <c r="T62" s="155">
        <f>SUMIF('Flt IIa'!A:A,A62,'Flt IIa'!E:E)/3.2808^2</f>
        <v>0</v>
      </c>
      <c r="U62" s="155">
        <f>SUMIF('OPC Des'!A:A,A62,'OPC Des'!F:F)/3.2808^2</f>
        <v>0</v>
      </c>
      <c r="V62" s="155">
        <f>SUMIF('LCS 5'!A:A,A62,'LCS 5'!E:E)</f>
        <v>0</v>
      </c>
      <c r="W62" s="155">
        <f>SUMIF('USCG Summary'!$A$25:$A$50,A62,'USCG Summary'!$F$25:$F$50)/3.2808^2</f>
        <v>0</v>
      </c>
      <c r="X62" s="155">
        <f>SUMIF('USCG Summary'!$A$25:$A$50,A62,'USCG Summary'!$I$25:$I$50)/3.2808^2</f>
        <v>0</v>
      </c>
      <c r="Y62" s="155">
        <f>SUMIF('USCG Summary'!$A$25:$A$50,A62,'USCG Summary'!$L$25:$L$50)/3.2808^2</f>
        <v>0</v>
      </c>
      <c r="Z62" s="155">
        <f>SUMIF('USCG Summary'!$A$25:$A$50,A62,'USCG Summary'!$O$25:$O$50)/3.2808^2</f>
        <v>0</v>
      </c>
      <c r="AA62" s="155">
        <f>SUMIF('USCG Summary'!$A$25:$A$50,A62,'USCG Summary'!$P$25:$P$50)/3.2808^2</f>
        <v>0</v>
      </c>
      <c r="AB62" s="155">
        <f>SUMIF('USCG Summary'!$A$25:$A$50,A62,'USCG Summary'!$Q$25:$Q$50)/3.2808^2</f>
        <v>0</v>
      </c>
      <c r="AC62" s="155">
        <f>SUMIF('USCG Summary'!$A$25:$A$50,A62,'USCG Summary'!$T$25:$T$50)/3.2808^2</f>
        <v>0</v>
      </c>
      <c r="AD62" s="155">
        <f>SUMIF('USCG Summary'!$A$25:$A$50,A62,'USCG Summary'!$W$25:$W$50)/3.2808^2</f>
        <v>0</v>
      </c>
      <c r="AE62" s="155">
        <f>SUMIF('USCG Summary'!$A$25:$A$50,A62,'USCG Summary'!$Z$25:$Z$50)/3.2808^2</f>
        <v>0</v>
      </c>
      <c r="AF62" s="155">
        <f>SUMIF(Comp!$A$75:$A$400,Areas!A62,Comp!$F$75:$F$400)</f>
        <v>0</v>
      </c>
      <c r="AG62" s="155">
        <f>SUMIF(Comp!$A$75:$A$400,Areas!A62,Comp!$G$75:$G$400)</f>
        <v>0</v>
      </c>
      <c r="AH62" s="155"/>
      <c r="AI62" s="155">
        <f>SUMIF('Flt III'!D:D,A62,'Flt III'!F:F)/3.2808^3</f>
        <v>72.153957260769729</v>
      </c>
      <c r="AK62" s="147">
        <f t="shared" si="15"/>
        <v>72.153957260769729</v>
      </c>
    </row>
    <row r="63" spans="1:37" s="148" customFormat="1">
      <c r="A63" s="146" t="s">
        <v>1346</v>
      </c>
      <c r="B63" s="146"/>
      <c r="C63" s="147">
        <f t="shared" si="14"/>
        <v>3.0658748816237833</v>
      </c>
      <c r="D63" s="147">
        <f t="shared" si="14"/>
        <v>0</v>
      </c>
      <c r="E63" s="147">
        <f t="shared" si="14"/>
        <v>0</v>
      </c>
      <c r="F63" s="147">
        <f t="shared" si="14"/>
        <v>0</v>
      </c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S63" s="155">
        <f>SUMIF('Flt III'!D:D,A63,'Flt III'!E:E)/3.2808^2</f>
        <v>3.0658748816237833</v>
      </c>
      <c r="T63" s="155">
        <f>SUMIF('Flt IIa'!A:A,A63,'Flt IIa'!E:E)/3.2808^2</f>
        <v>0</v>
      </c>
      <c r="U63" s="155">
        <f>SUMIF('OPC Des'!A:A,A63,'OPC Des'!F:F)/3.2808^2</f>
        <v>0</v>
      </c>
      <c r="V63" s="155">
        <f>SUMIF('LCS 5'!A:A,A63,'LCS 5'!E:E)</f>
        <v>0</v>
      </c>
      <c r="W63" s="155">
        <f>SUMIF('USCG Summary'!$A$25:$A$50,A63,'USCG Summary'!$F$25:$F$50)/3.2808^2</f>
        <v>0</v>
      </c>
      <c r="X63" s="155">
        <f>SUMIF('USCG Summary'!$A$25:$A$50,A63,'USCG Summary'!$I$25:$I$50)/3.2808^2</f>
        <v>0</v>
      </c>
      <c r="Y63" s="155">
        <f>SUMIF('USCG Summary'!$A$25:$A$50,A63,'USCG Summary'!$L$25:$L$50)/3.2808^2</f>
        <v>0</v>
      </c>
      <c r="Z63" s="155">
        <f>SUMIF('USCG Summary'!$A$25:$A$50,A63,'USCG Summary'!$O$25:$O$50)/3.2808^2</f>
        <v>0</v>
      </c>
      <c r="AA63" s="155">
        <f>SUMIF('USCG Summary'!$A$25:$A$50,A63,'USCG Summary'!$P$25:$P$50)/3.2808^2</f>
        <v>0</v>
      </c>
      <c r="AB63" s="155">
        <f>SUMIF('USCG Summary'!$A$25:$A$50,A63,'USCG Summary'!$Q$25:$Q$50)/3.2808^2</f>
        <v>0</v>
      </c>
      <c r="AC63" s="155">
        <f>SUMIF('USCG Summary'!$A$25:$A$50,A63,'USCG Summary'!$T$25:$T$50)/3.2808^2</f>
        <v>0</v>
      </c>
      <c r="AD63" s="155">
        <f>SUMIF('USCG Summary'!$A$25:$A$50,A63,'USCG Summary'!$W$25:$W$50)/3.2808^2</f>
        <v>0</v>
      </c>
      <c r="AE63" s="155">
        <f>SUMIF('USCG Summary'!$A$25:$A$50,A63,'USCG Summary'!$Z$25:$Z$50)/3.2808^2</f>
        <v>0</v>
      </c>
      <c r="AF63" s="155">
        <f>SUMIF(Comp!$A$75:$A$400,Areas!A63,Comp!$F$75:$F$400)</f>
        <v>0</v>
      </c>
      <c r="AG63" s="155">
        <f>SUMIF(Comp!$A$75:$A$400,Areas!A63,Comp!$G$75:$G$400)</f>
        <v>0</v>
      </c>
      <c r="AH63" s="155"/>
      <c r="AI63" s="155">
        <f>SUMIF('Flt III'!D:D,A63,'Flt III'!F:F)/3.2808^3</f>
        <v>28.940872967231815</v>
      </c>
      <c r="AK63" s="147">
        <f t="shared" si="15"/>
        <v>28.940872967231815</v>
      </c>
    </row>
    <row r="64" spans="1:37" s="148" customFormat="1">
      <c r="A64" s="146">
        <v>1.2140320200000001</v>
      </c>
      <c r="B64" s="146"/>
      <c r="C64" s="147">
        <f t="shared" si="14"/>
        <v>19.88173408083302</v>
      </c>
      <c r="D64" s="147">
        <f t="shared" si="14"/>
        <v>0</v>
      </c>
      <c r="E64" s="147">
        <f t="shared" si="14"/>
        <v>0</v>
      </c>
      <c r="F64" s="147">
        <f t="shared" si="14"/>
        <v>0</v>
      </c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S64" s="155">
        <f>SUMIF('Flt III'!D:D,A64,'Flt III'!E:E)/3.2808^2</f>
        <v>19.88173408083302</v>
      </c>
      <c r="T64" s="155">
        <f>SUMIF('Flt IIa'!A:A,A64,'Flt IIa'!E:E)/3.2808^2</f>
        <v>0</v>
      </c>
      <c r="U64" s="155">
        <f>SUMIF('OPC Des'!A:A,A64,'OPC Des'!F:F)/3.2808^2</f>
        <v>0</v>
      </c>
      <c r="V64" s="155">
        <f>SUMIF('LCS 5'!A:A,A64,'LCS 5'!E:E)</f>
        <v>0</v>
      </c>
      <c r="W64" s="155">
        <f>SUMIF('USCG Summary'!$A$25:$A$50,A64,'USCG Summary'!$F$25:$F$50)/3.2808^2</f>
        <v>0</v>
      </c>
      <c r="X64" s="155">
        <f>SUMIF('USCG Summary'!$A$25:$A$50,A64,'USCG Summary'!$I$25:$I$50)/3.2808^2</f>
        <v>0</v>
      </c>
      <c r="Y64" s="155">
        <f>SUMIF('USCG Summary'!$A$25:$A$50,A64,'USCG Summary'!$L$25:$L$50)/3.2808^2</f>
        <v>0</v>
      </c>
      <c r="Z64" s="155">
        <f>SUMIF('USCG Summary'!$A$25:$A$50,A64,'USCG Summary'!$O$25:$O$50)/3.2808^2</f>
        <v>0</v>
      </c>
      <c r="AA64" s="155">
        <f>SUMIF('USCG Summary'!$A$25:$A$50,A64,'USCG Summary'!$P$25:$P$50)/3.2808^2</f>
        <v>0</v>
      </c>
      <c r="AB64" s="155">
        <f>SUMIF('USCG Summary'!$A$25:$A$50,A64,'USCG Summary'!$Q$25:$Q$50)/3.2808^2</f>
        <v>0</v>
      </c>
      <c r="AC64" s="155">
        <f>SUMIF('USCG Summary'!$A$25:$A$50,A64,'USCG Summary'!$T$25:$T$50)/3.2808^2</f>
        <v>0</v>
      </c>
      <c r="AD64" s="155">
        <f>SUMIF('USCG Summary'!$A$25:$A$50,A64,'USCG Summary'!$W$25:$W$50)/3.2808^2</f>
        <v>0</v>
      </c>
      <c r="AE64" s="155">
        <f>SUMIF('USCG Summary'!$A$25:$A$50,A64,'USCG Summary'!$Z$25:$Z$50)/3.2808^2</f>
        <v>0</v>
      </c>
      <c r="AF64" s="155">
        <f>SUMIF(Comp!$A$75:$A$400,Areas!A64,Comp!$F$75:$F$400)</f>
        <v>0</v>
      </c>
      <c r="AG64" s="155">
        <f>SUMIF(Comp!$A$75:$A$400,Areas!A64,Comp!$G$75:$G$400)</f>
        <v>0</v>
      </c>
      <c r="AH64" s="155"/>
      <c r="AI64" s="155">
        <f>SUMIF('Flt III'!D:D,A64,'Flt III'!F:F)/3.2808^3</f>
        <v>61.846249080659767</v>
      </c>
      <c r="AK64" s="147">
        <f t="shared" si="15"/>
        <v>61.846249080659767</v>
      </c>
    </row>
    <row r="65" spans="1:37" s="148" customFormat="1">
      <c r="A65" s="146" t="s">
        <v>1337</v>
      </c>
      <c r="B65" s="146"/>
      <c r="C65" s="147">
        <f t="shared" si="14"/>
        <v>1.4864847910903192</v>
      </c>
      <c r="D65" s="147">
        <f t="shared" si="14"/>
        <v>0</v>
      </c>
      <c r="E65" s="147">
        <f t="shared" si="14"/>
        <v>0</v>
      </c>
      <c r="F65" s="147">
        <f t="shared" si="14"/>
        <v>0</v>
      </c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S65" s="155">
        <f>SUMIF('Flt III'!D:D,A65,'Flt III'!E:E)/3.2808^2</f>
        <v>1.4864847910903192</v>
      </c>
      <c r="T65" s="155">
        <f>SUMIF('Flt IIa'!A:A,A65,'Flt IIa'!E:E)/3.2808^2</f>
        <v>0</v>
      </c>
      <c r="U65" s="155">
        <f>SUMIF('OPC Des'!A:A,A65,'OPC Des'!F:F)/3.2808^2</f>
        <v>0</v>
      </c>
      <c r="V65" s="155">
        <f>SUMIF('LCS 5'!A:A,A65,'LCS 5'!E:E)</f>
        <v>0</v>
      </c>
      <c r="W65" s="155">
        <f>SUMIF('USCG Summary'!$A$25:$A$50,A65,'USCG Summary'!$F$25:$F$50)/3.2808^2</f>
        <v>0</v>
      </c>
      <c r="X65" s="155">
        <f>SUMIF('USCG Summary'!$A$25:$A$50,A65,'USCG Summary'!$I$25:$I$50)/3.2808^2</f>
        <v>0</v>
      </c>
      <c r="Y65" s="155">
        <f>SUMIF('USCG Summary'!$A$25:$A$50,A65,'USCG Summary'!$L$25:$L$50)/3.2808^2</f>
        <v>0</v>
      </c>
      <c r="Z65" s="155">
        <f>SUMIF('USCG Summary'!$A$25:$A$50,A65,'USCG Summary'!$O$25:$O$50)/3.2808^2</f>
        <v>0</v>
      </c>
      <c r="AA65" s="155">
        <f>SUMIF('USCG Summary'!$A$25:$A$50,A65,'USCG Summary'!$P$25:$P$50)/3.2808^2</f>
        <v>0</v>
      </c>
      <c r="AB65" s="155">
        <f>SUMIF('USCG Summary'!$A$25:$A$50,A65,'USCG Summary'!$Q$25:$Q$50)/3.2808^2</f>
        <v>0</v>
      </c>
      <c r="AC65" s="155">
        <f>SUMIF('USCG Summary'!$A$25:$A$50,A65,'USCG Summary'!$T$25:$T$50)/3.2808^2</f>
        <v>0</v>
      </c>
      <c r="AD65" s="155">
        <f>SUMIF('USCG Summary'!$A$25:$A$50,A65,'USCG Summary'!$W$25:$W$50)/3.2808^2</f>
        <v>0</v>
      </c>
      <c r="AE65" s="155">
        <f>SUMIF('USCG Summary'!$A$25:$A$50,A65,'USCG Summary'!$Z$25:$Z$50)/3.2808^2</f>
        <v>0</v>
      </c>
      <c r="AF65" s="155">
        <f>SUMIF(Comp!$A$75:$A$400,Areas!A65,Comp!$F$75:$F$400)</f>
        <v>0</v>
      </c>
      <c r="AG65" s="155">
        <f>SUMIF(Comp!$A$75:$A$400,Areas!A65,Comp!$G$75:$G$400)</f>
        <v>0</v>
      </c>
      <c r="AH65" s="155"/>
      <c r="AI65" s="155">
        <f>SUMIF('Flt III'!D:D,A65,'Flt III'!F:F)/3.2808^3</f>
        <v>5.3803971269804745</v>
      </c>
      <c r="AK65" s="147">
        <f t="shared" si="15"/>
        <v>5.3803971269804745</v>
      </c>
    </row>
    <row r="66" spans="1:37" s="148" customFormat="1">
      <c r="A66" s="146" t="s">
        <v>1334</v>
      </c>
      <c r="B66" s="146"/>
      <c r="C66" s="147">
        <f t="shared" si="14"/>
        <v>23.597946058558819</v>
      </c>
      <c r="D66" s="147">
        <f t="shared" si="14"/>
        <v>0</v>
      </c>
      <c r="E66" s="147">
        <f t="shared" si="14"/>
        <v>0</v>
      </c>
      <c r="F66" s="147">
        <f t="shared" si="14"/>
        <v>0</v>
      </c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S66" s="155">
        <f>SUMIF('Flt III'!D:D,A66,'Flt III'!E:E)/3.2808^2</f>
        <v>23.597946058558819</v>
      </c>
      <c r="T66" s="155">
        <f>SUMIF('Flt IIa'!A:A,A66,'Flt IIa'!E:E)/3.2808^2</f>
        <v>0</v>
      </c>
      <c r="U66" s="155">
        <f>SUMIF('OPC Des'!A:A,A66,'OPC Des'!F:F)/3.2808^2</f>
        <v>0</v>
      </c>
      <c r="V66" s="155">
        <f>SUMIF('LCS 5'!A:A,A66,'LCS 5'!E:E)</f>
        <v>0</v>
      </c>
      <c r="W66" s="155">
        <f>SUMIF('USCG Summary'!$A$25:$A$50,A66,'USCG Summary'!$F$25:$F$50)/3.2808^2</f>
        <v>0</v>
      </c>
      <c r="X66" s="155">
        <f>SUMIF('USCG Summary'!$A$25:$A$50,A66,'USCG Summary'!$I$25:$I$50)/3.2808^2</f>
        <v>0</v>
      </c>
      <c r="Y66" s="155">
        <f>SUMIF('USCG Summary'!$A$25:$A$50,A66,'USCG Summary'!$L$25:$L$50)/3.2808^2</f>
        <v>0</v>
      </c>
      <c r="Z66" s="155">
        <f>SUMIF('USCG Summary'!$A$25:$A$50,A66,'USCG Summary'!$O$25:$O$50)/3.2808^2</f>
        <v>0</v>
      </c>
      <c r="AA66" s="155">
        <f>SUMIF('USCG Summary'!$A$25:$A$50,A66,'USCG Summary'!$P$25:$P$50)/3.2808^2</f>
        <v>0</v>
      </c>
      <c r="AB66" s="155">
        <f>SUMIF('USCG Summary'!$A$25:$A$50,A66,'USCG Summary'!$Q$25:$Q$50)/3.2808^2</f>
        <v>0</v>
      </c>
      <c r="AC66" s="155">
        <f>SUMIF('USCG Summary'!$A$25:$A$50,A66,'USCG Summary'!$T$25:$T$50)/3.2808^2</f>
        <v>0</v>
      </c>
      <c r="AD66" s="155">
        <f>SUMIF('USCG Summary'!$A$25:$A$50,A66,'USCG Summary'!$W$25:$W$50)/3.2808^2</f>
        <v>0</v>
      </c>
      <c r="AE66" s="155">
        <f>SUMIF('USCG Summary'!$A$25:$A$50,A66,'USCG Summary'!$Z$25:$Z$50)/3.2808^2</f>
        <v>0</v>
      </c>
      <c r="AF66" s="155">
        <f>SUMIF(Comp!$A$75:$A$400,Areas!A66,Comp!$F$75:$F$400)</f>
        <v>0</v>
      </c>
      <c r="AG66" s="155">
        <f>SUMIF(Comp!$A$75:$A$400,Areas!A66,Comp!$G$75:$G$400)</f>
        <v>0</v>
      </c>
      <c r="AH66" s="155"/>
      <c r="AI66" s="155">
        <f>SUMIF('Flt III'!D:D,A66,'Flt III'!F:F)/3.2808^3</f>
        <v>41.995415470063385</v>
      </c>
      <c r="AK66" s="147">
        <f t="shared" si="15"/>
        <v>41.995415470063385</v>
      </c>
    </row>
    <row r="67" spans="1:37" s="148" customFormat="1">
      <c r="A67" s="146" t="s">
        <v>1329</v>
      </c>
      <c r="B67" s="146"/>
      <c r="C67" s="147">
        <f t="shared" si="14"/>
        <v>27.314158036284613</v>
      </c>
      <c r="D67" s="147">
        <f t="shared" si="14"/>
        <v>0</v>
      </c>
      <c r="E67" s="147">
        <f t="shared" si="14"/>
        <v>0</v>
      </c>
      <c r="F67" s="147">
        <f t="shared" si="14"/>
        <v>0</v>
      </c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S67" s="155">
        <f>SUMIF('Flt III'!D:D,A67,'Flt III'!E:E)/3.2808^2</f>
        <v>27.314158036284613</v>
      </c>
      <c r="T67" s="155">
        <f>SUMIF('Flt IIa'!A:A,A67,'Flt IIa'!E:E)/3.2808^2</f>
        <v>0</v>
      </c>
      <c r="U67" s="155">
        <f>SUMIF('OPC Des'!A:A,A67,'OPC Des'!F:F)/3.2808^2</f>
        <v>0</v>
      </c>
      <c r="V67" s="155">
        <f>SUMIF('LCS 5'!A:A,A67,'LCS 5'!E:E)</f>
        <v>0</v>
      </c>
      <c r="W67" s="155">
        <f>SUMIF('USCG Summary'!$A$25:$A$50,A67,'USCG Summary'!$F$25:$F$50)/3.2808^2</f>
        <v>0</v>
      </c>
      <c r="X67" s="155">
        <f>SUMIF('USCG Summary'!$A$25:$A$50,A67,'USCG Summary'!$I$25:$I$50)/3.2808^2</f>
        <v>0</v>
      </c>
      <c r="Y67" s="155">
        <f>SUMIF('USCG Summary'!$A$25:$A$50,A67,'USCG Summary'!$L$25:$L$50)/3.2808^2</f>
        <v>0</v>
      </c>
      <c r="Z67" s="155">
        <f>SUMIF('USCG Summary'!$A$25:$A$50,A67,'USCG Summary'!$O$25:$O$50)/3.2808^2</f>
        <v>0</v>
      </c>
      <c r="AA67" s="155">
        <f>SUMIF('USCG Summary'!$A$25:$A$50,A67,'USCG Summary'!$P$25:$P$50)/3.2808^2</f>
        <v>0</v>
      </c>
      <c r="AB67" s="155">
        <f>SUMIF('USCG Summary'!$A$25:$A$50,A67,'USCG Summary'!$Q$25:$Q$50)/3.2808^2</f>
        <v>0</v>
      </c>
      <c r="AC67" s="155">
        <f>SUMIF('USCG Summary'!$A$25:$A$50,A67,'USCG Summary'!$T$25:$T$50)/3.2808^2</f>
        <v>0</v>
      </c>
      <c r="AD67" s="155">
        <f>SUMIF('USCG Summary'!$A$25:$A$50,A67,'USCG Summary'!$W$25:$W$50)/3.2808^2</f>
        <v>0</v>
      </c>
      <c r="AE67" s="155">
        <f>SUMIF('USCG Summary'!$A$25:$A$50,A67,'USCG Summary'!$Z$25:$Z$50)/3.2808^2</f>
        <v>0</v>
      </c>
      <c r="AF67" s="155">
        <f>SUMIF(Comp!$A$75:$A$400,Areas!A67,Comp!$F$75:$F$400)</f>
        <v>0</v>
      </c>
      <c r="AG67" s="155">
        <f>SUMIF(Comp!$A$75:$A$400,Areas!A67,Comp!$G$75:$G$400)</f>
        <v>0</v>
      </c>
      <c r="AH67" s="155"/>
      <c r="AI67" s="155">
        <f>SUMIF('Flt III'!D:D,A67,'Flt III'!F:F)/3.2808^3</f>
        <v>72.069003621922661</v>
      </c>
      <c r="AK67" s="147">
        <f t="shared" si="15"/>
        <v>72.069003621922661</v>
      </c>
    </row>
    <row r="68" spans="1:37" s="148" customFormat="1">
      <c r="A68" s="146" t="s">
        <v>1322</v>
      </c>
      <c r="B68" s="146"/>
      <c r="C68" s="147">
        <f t="shared" si="14"/>
        <v>16.630048600322947</v>
      </c>
      <c r="D68" s="147">
        <f t="shared" si="14"/>
        <v>0</v>
      </c>
      <c r="E68" s="147">
        <f t="shared" si="14"/>
        <v>0</v>
      </c>
      <c r="F68" s="147">
        <f t="shared" si="14"/>
        <v>0</v>
      </c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S68" s="155">
        <f>SUMIF('Flt III'!D:D,A68,'Flt III'!E:E)/3.2808^2</f>
        <v>16.630048600322947</v>
      </c>
      <c r="T68" s="155">
        <f>SUMIF('Flt IIa'!A:A,A68,'Flt IIa'!E:E)/3.2808^2</f>
        <v>0</v>
      </c>
      <c r="U68" s="155">
        <f>SUMIF('OPC Des'!A:A,A68,'OPC Des'!F:F)/3.2808^2</f>
        <v>0</v>
      </c>
      <c r="V68" s="155">
        <f>SUMIF('LCS 5'!A:A,A68,'LCS 5'!E:E)</f>
        <v>0</v>
      </c>
      <c r="W68" s="155">
        <f>SUMIF('USCG Summary'!$A$25:$A$50,A68,'USCG Summary'!$F$25:$F$50)/3.2808^2</f>
        <v>0</v>
      </c>
      <c r="X68" s="155">
        <f>SUMIF('USCG Summary'!$A$25:$A$50,A68,'USCG Summary'!$I$25:$I$50)/3.2808^2</f>
        <v>0</v>
      </c>
      <c r="Y68" s="155">
        <f>SUMIF('USCG Summary'!$A$25:$A$50,A68,'USCG Summary'!$L$25:$L$50)/3.2808^2</f>
        <v>0</v>
      </c>
      <c r="Z68" s="155">
        <f>SUMIF('USCG Summary'!$A$25:$A$50,A68,'USCG Summary'!$O$25:$O$50)/3.2808^2</f>
        <v>0</v>
      </c>
      <c r="AA68" s="155">
        <f>SUMIF('USCG Summary'!$A$25:$A$50,A68,'USCG Summary'!$P$25:$P$50)/3.2808^2</f>
        <v>0</v>
      </c>
      <c r="AB68" s="155">
        <f>SUMIF('USCG Summary'!$A$25:$A$50,A68,'USCG Summary'!$Q$25:$Q$50)/3.2808^2</f>
        <v>0</v>
      </c>
      <c r="AC68" s="155">
        <f>SUMIF('USCG Summary'!$A$25:$A$50,A68,'USCG Summary'!$T$25:$T$50)/3.2808^2</f>
        <v>0</v>
      </c>
      <c r="AD68" s="155">
        <f>SUMIF('USCG Summary'!$A$25:$A$50,A68,'USCG Summary'!$W$25:$W$50)/3.2808^2</f>
        <v>0</v>
      </c>
      <c r="AE68" s="155">
        <f>SUMIF('USCG Summary'!$A$25:$A$50,A68,'USCG Summary'!$Z$25:$Z$50)/3.2808^2</f>
        <v>0</v>
      </c>
      <c r="AF68" s="155">
        <f>SUMIF(Comp!$A$75:$A$400,Areas!A68,Comp!$F$75:$F$400)</f>
        <v>0</v>
      </c>
      <c r="AG68" s="155">
        <f>SUMIF(Comp!$A$75:$A$400,Areas!A68,Comp!$G$75:$G$400)</f>
        <v>0</v>
      </c>
      <c r="AH68" s="155"/>
      <c r="AI68" s="155">
        <f>SUMIF('Flt III'!D:D,A68,'Flt III'!F:F)/3.2808^3</f>
        <v>52.47303092786747</v>
      </c>
      <c r="AK68" s="147">
        <f t="shared" si="15"/>
        <v>52.47303092786747</v>
      </c>
    </row>
    <row r="69" spans="1:37" s="148" customFormat="1">
      <c r="A69" s="146" t="s">
        <v>1317</v>
      </c>
      <c r="B69" s="146"/>
      <c r="C69" s="147">
        <f t="shared" si="14"/>
        <v>37.347930376144269</v>
      </c>
      <c r="D69" s="147">
        <f t="shared" si="14"/>
        <v>0</v>
      </c>
      <c r="E69" s="147">
        <f t="shared" si="14"/>
        <v>0</v>
      </c>
      <c r="F69" s="147">
        <f t="shared" si="14"/>
        <v>0</v>
      </c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7"/>
      <c r="S69" s="155">
        <f>SUMIF('Flt III'!D:D,A69,'Flt III'!E:E)/3.2808^2</f>
        <v>37.347930376144269</v>
      </c>
      <c r="T69" s="155">
        <f>SUMIF('Flt IIa'!A:A,A69,'Flt IIa'!E:E)/3.2808^2</f>
        <v>0</v>
      </c>
      <c r="U69" s="155">
        <f>SUMIF('OPC Des'!A:A,A69,'OPC Des'!F:F)/3.2808^2</f>
        <v>0</v>
      </c>
      <c r="V69" s="155">
        <f>SUMIF('LCS 5'!A:A,A69,'LCS 5'!E:E)</f>
        <v>0</v>
      </c>
      <c r="W69" s="155">
        <f>SUMIF('USCG Summary'!$A$25:$A$50,A69,'USCG Summary'!$F$25:$F$50)/3.2808^2</f>
        <v>0</v>
      </c>
      <c r="X69" s="155">
        <f>SUMIF('USCG Summary'!$A$25:$A$50,A69,'USCG Summary'!$I$25:$I$50)/3.2808^2</f>
        <v>0</v>
      </c>
      <c r="Y69" s="155">
        <f>SUMIF('USCG Summary'!$A$25:$A$50,A69,'USCG Summary'!$L$25:$L$50)/3.2808^2</f>
        <v>0</v>
      </c>
      <c r="Z69" s="155">
        <f>SUMIF('USCG Summary'!$A$25:$A$50,A69,'USCG Summary'!$O$25:$O$50)/3.2808^2</f>
        <v>0</v>
      </c>
      <c r="AA69" s="155">
        <f>SUMIF('USCG Summary'!$A$25:$A$50,A69,'USCG Summary'!$P$25:$P$50)/3.2808^2</f>
        <v>0</v>
      </c>
      <c r="AB69" s="155">
        <f>SUMIF('USCG Summary'!$A$25:$A$50,A69,'USCG Summary'!$Q$25:$Q$50)/3.2808^2</f>
        <v>0</v>
      </c>
      <c r="AC69" s="155">
        <f>SUMIF('USCG Summary'!$A$25:$A$50,A69,'USCG Summary'!$T$25:$T$50)/3.2808^2</f>
        <v>0</v>
      </c>
      <c r="AD69" s="155">
        <f>SUMIF('USCG Summary'!$A$25:$A$50,A69,'USCG Summary'!$W$25:$W$50)/3.2808^2</f>
        <v>0</v>
      </c>
      <c r="AE69" s="155">
        <f>SUMIF('USCG Summary'!$A$25:$A$50,A69,'USCG Summary'!$Z$25:$Z$50)/3.2808^2</f>
        <v>0</v>
      </c>
      <c r="AF69" s="155">
        <f>SUMIF(Comp!$A$75:$A$400,Areas!A69,Comp!$F$75:$F$400)</f>
        <v>0</v>
      </c>
      <c r="AG69" s="155">
        <f>SUMIF(Comp!$A$75:$A$400,Areas!A69,Comp!$G$75:$G$400)</f>
        <v>0</v>
      </c>
      <c r="AH69" s="155"/>
      <c r="AI69" s="155">
        <f>SUMIF('Flt III'!D:D,A69,'Flt III'!F:F)/3.2808^3</f>
        <v>103.86998243033884</v>
      </c>
      <c r="AK69" s="147">
        <f t="shared" si="15"/>
        <v>103.86998243033884</v>
      </c>
    </row>
    <row r="70" spans="1:37" s="134" customFormat="1">
      <c r="A70" s="140">
        <v>1.22</v>
      </c>
      <c r="B70" s="140" t="str">
        <f>Comp!B100</f>
        <v>MISSILES</v>
      </c>
      <c r="C70" s="149">
        <f>IF(S70=0,SUM(C71:C76),S70)</f>
        <v>216.56225300197087</v>
      </c>
      <c r="D70" s="149">
        <f>IF(T70=0,SUM(D71:D76),T70)</f>
        <v>106.6552837607304</v>
      </c>
      <c r="E70" s="149">
        <f>IF(U70=0,SUM(E71:E76),U70)</f>
        <v>0</v>
      </c>
      <c r="F70" s="149">
        <f>IF(V70=0,SUM(F71:F76),V70)</f>
        <v>0</v>
      </c>
      <c r="G70" s="149"/>
      <c r="H70" s="149"/>
      <c r="I70" s="149"/>
      <c r="J70" s="149"/>
      <c r="K70" s="149"/>
      <c r="L70" s="149"/>
      <c r="M70" s="149"/>
      <c r="N70" s="149"/>
      <c r="O70" s="149"/>
      <c r="P70" s="149">
        <f>AF70</f>
        <v>0</v>
      </c>
      <c r="Q70" s="149">
        <f>AG70</f>
        <v>0</v>
      </c>
      <c r="S70" s="153">
        <f>SUMIF('Flt III'!D:D,A70,'Flt III'!E:E)/3.2808^2</f>
        <v>0</v>
      </c>
      <c r="T70" s="153">
        <f>SUMIF('Flt IIa'!A:A,A70,'Flt IIa'!E:E)/3.2808^2</f>
        <v>106.6552837607304</v>
      </c>
      <c r="U70" s="153">
        <f>SUMIF('OPC Des'!A:A,A70,'OPC Des'!F:F)/3.2808^2</f>
        <v>0</v>
      </c>
      <c r="V70" s="153">
        <f>SUMIF('LCS 5'!A:A,A70,'LCS 5'!E:E)</f>
        <v>0</v>
      </c>
      <c r="W70" s="153">
        <f>SUMIF('USCG Summary'!$A$25:$A$50,A70,'USCG Summary'!$F$25:$F$50)/3.2808^2</f>
        <v>0</v>
      </c>
      <c r="X70" s="153">
        <f>SUMIF('USCG Summary'!$A$25:$A$50,A70,'USCG Summary'!$I$25:$I$50)/3.2808^2</f>
        <v>0</v>
      </c>
      <c r="Y70" s="153">
        <f>SUMIF('USCG Summary'!$A$25:$A$50,A70,'USCG Summary'!$L$25:$L$50)/3.2808^2</f>
        <v>0</v>
      </c>
      <c r="Z70" s="153">
        <f>SUMIF('USCG Summary'!$A$25:$A$50,A70,'USCG Summary'!$O$25:$O$50)/3.2808^2</f>
        <v>0</v>
      </c>
      <c r="AA70" s="153">
        <f>SUMIF('USCG Summary'!$A$25:$A$50,A70,'USCG Summary'!$P$25:$P$50)/3.2808^2</f>
        <v>0</v>
      </c>
      <c r="AB70" s="153">
        <f>SUMIF('USCG Summary'!$A$25:$A$50,A70,'USCG Summary'!$Q$25:$Q$50)/3.2808^2</f>
        <v>0</v>
      </c>
      <c r="AC70" s="153">
        <f>SUMIF('USCG Summary'!$A$25:$A$50,A70,'USCG Summary'!$T$25:$T$50)/3.2808^2</f>
        <v>0</v>
      </c>
      <c r="AD70" s="153">
        <f>SUMIF('USCG Summary'!$A$25:$A$50,A70,'USCG Summary'!$W$25:$W$50)/3.2808^2</f>
        <v>0</v>
      </c>
      <c r="AE70" s="153">
        <f>SUMIF('USCG Summary'!$A$25:$A$50,A70,'USCG Summary'!$Z$25:$Z$50)/3.2808^2</f>
        <v>0</v>
      </c>
      <c r="AF70" s="153">
        <f>SUMIF(Comp!$A$75:$A$400,Areas!A70,Comp!$F$75:$F$400)</f>
        <v>0</v>
      </c>
      <c r="AG70" s="153">
        <f>SUMIF(Comp!$A$75:$A$400,Areas!A70,Comp!$G$75:$G$400)</f>
        <v>0</v>
      </c>
      <c r="AH70" s="153"/>
      <c r="AI70" s="153">
        <f>SUMIF('Flt III'!D:D,A70,'Flt III'!F:F)/3.2808^3</f>
        <v>0</v>
      </c>
      <c r="AK70" s="149">
        <f>IF(AI70=0,SUM(AK71:AK76),AI70)</f>
        <v>736.3215057670858</v>
      </c>
    </row>
    <row r="71" spans="1:37" s="148" customFormat="1">
      <c r="A71" s="146" t="s">
        <v>1314</v>
      </c>
      <c r="B71" s="146"/>
      <c r="C71" s="147">
        <f t="shared" ref="C71:F76" si="16">S71</f>
        <v>39.76346816166604</v>
      </c>
      <c r="D71" s="147">
        <f t="shared" si="16"/>
        <v>0</v>
      </c>
      <c r="E71" s="147">
        <f t="shared" si="16"/>
        <v>0</v>
      </c>
      <c r="F71" s="147">
        <f t="shared" si="16"/>
        <v>0</v>
      </c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S71" s="155">
        <f>SUMIF('Flt III'!D:D,A71,'Flt III'!E:E)/3.2808^2</f>
        <v>39.76346816166604</v>
      </c>
      <c r="T71" s="155">
        <f>SUMIF('Flt IIa'!A:A,A71,'Flt IIa'!E:E)/3.2808^2</f>
        <v>0</v>
      </c>
      <c r="U71" s="155">
        <f>SUMIF('OPC Des'!A:A,A71,'OPC Des'!F:F)/3.2808^2</f>
        <v>0</v>
      </c>
      <c r="V71" s="155">
        <f>SUMIF('LCS 5'!A:A,A71,'LCS 5'!E:E)</f>
        <v>0</v>
      </c>
      <c r="W71" s="155">
        <f>SUMIF('USCG Summary'!$A$25:$A$50,A71,'USCG Summary'!$F$25:$F$50)/3.2808^2</f>
        <v>0</v>
      </c>
      <c r="X71" s="155">
        <f>SUMIF('USCG Summary'!$A$25:$A$50,A71,'USCG Summary'!$I$25:$I$50)/3.2808^2</f>
        <v>0</v>
      </c>
      <c r="Y71" s="155">
        <f>SUMIF('USCG Summary'!$A$25:$A$50,A71,'USCG Summary'!$L$25:$L$50)/3.2808^2</f>
        <v>0</v>
      </c>
      <c r="Z71" s="155">
        <f>SUMIF('USCG Summary'!$A$25:$A$50,A71,'USCG Summary'!$O$25:$O$50)/3.2808^2</f>
        <v>0</v>
      </c>
      <c r="AA71" s="155">
        <f>SUMIF('USCG Summary'!$A$25:$A$50,A71,'USCG Summary'!$P$25:$P$50)/3.2808^2</f>
        <v>0</v>
      </c>
      <c r="AB71" s="155">
        <f>SUMIF('USCG Summary'!$A$25:$A$50,A71,'USCG Summary'!$Q$25:$Q$50)/3.2808^2</f>
        <v>0</v>
      </c>
      <c r="AC71" s="155">
        <f>SUMIF('USCG Summary'!$A$25:$A$50,A71,'USCG Summary'!$T$25:$T$50)/3.2808^2</f>
        <v>0</v>
      </c>
      <c r="AD71" s="155">
        <f>SUMIF('USCG Summary'!$A$25:$A$50,A71,'USCG Summary'!$W$25:$W$50)/3.2808^2</f>
        <v>0</v>
      </c>
      <c r="AE71" s="155">
        <f>SUMIF('USCG Summary'!$A$25:$A$50,A71,'USCG Summary'!$Z$25:$Z$50)/3.2808^2</f>
        <v>0</v>
      </c>
      <c r="AF71" s="155">
        <f>SUMIF(Comp!$A$75:$A$400,Areas!A71,Comp!$F$75:$F$400)</f>
        <v>0</v>
      </c>
      <c r="AG71" s="155">
        <f>SUMIF(Comp!$A$75:$A$400,Areas!A71,Comp!$G$75:$G$400)</f>
        <v>0</v>
      </c>
      <c r="AH71" s="155"/>
      <c r="AI71" s="155">
        <f>SUMIF('Flt III'!D:D,A71,'Flt III'!F:F)/3.2808^3</f>
        <v>323.84327128499319</v>
      </c>
      <c r="AK71" s="147">
        <f t="shared" ref="AK71:AK76" si="17">AI71</f>
        <v>323.84327128499319</v>
      </c>
    </row>
    <row r="72" spans="1:37" s="148" customFormat="1">
      <c r="A72" s="146" t="s">
        <v>1311</v>
      </c>
      <c r="B72" s="146"/>
      <c r="C72" s="147">
        <f t="shared" si="16"/>
        <v>5.3885073677024069</v>
      </c>
      <c r="D72" s="147">
        <f t="shared" si="16"/>
        <v>0</v>
      </c>
      <c r="E72" s="147">
        <f t="shared" si="16"/>
        <v>0</v>
      </c>
      <c r="F72" s="147">
        <f t="shared" si="16"/>
        <v>0</v>
      </c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S72" s="155">
        <f>SUMIF('Flt III'!D:D,A72,'Flt III'!E:E)/3.2808^2</f>
        <v>5.3885073677024069</v>
      </c>
      <c r="T72" s="155">
        <f>SUMIF('Flt IIa'!A:A,A72,'Flt IIa'!E:E)/3.2808^2</f>
        <v>0</v>
      </c>
      <c r="U72" s="155">
        <f>SUMIF('OPC Des'!A:A,A72,'OPC Des'!F:F)/3.2808^2</f>
        <v>0</v>
      </c>
      <c r="V72" s="155">
        <f>SUMIF('LCS 5'!A:A,A72,'LCS 5'!E:E)</f>
        <v>0</v>
      </c>
      <c r="W72" s="155">
        <f>SUMIF('USCG Summary'!$A$25:$A$50,A72,'USCG Summary'!$F$25:$F$50)/3.2808^2</f>
        <v>0</v>
      </c>
      <c r="X72" s="155">
        <f>SUMIF('USCG Summary'!$A$25:$A$50,A72,'USCG Summary'!$I$25:$I$50)/3.2808^2</f>
        <v>0</v>
      </c>
      <c r="Y72" s="155">
        <f>SUMIF('USCG Summary'!$A$25:$A$50,A72,'USCG Summary'!$L$25:$L$50)/3.2808^2</f>
        <v>0</v>
      </c>
      <c r="Z72" s="155">
        <f>SUMIF('USCG Summary'!$A$25:$A$50,A72,'USCG Summary'!$O$25:$O$50)/3.2808^2</f>
        <v>0</v>
      </c>
      <c r="AA72" s="155">
        <f>SUMIF('USCG Summary'!$A$25:$A$50,A72,'USCG Summary'!$P$25:$P$50)/3.2808^2</f>
        <v>0</v>
      </c>
      <c r="AB72" s="155">
        <f>SUMIF('USCG Summary'!$A$25:$A$50,A72,'USCG Summary'!$Q$25:$Q$50)/3.2808^2</f>
        <v>0</v>
      </c>
      <c r="AC72" s="155">
        <f>SUMIF('USCG Summary'!$A$25:$A$50,A72,'USCG Summary'!$T$25:$T$50)/3.2808^2</f>
        <v>0</v>
      </c>
      <c r="AD72" s="155">
        <f>SUMIF('USCG Summary'!$A$25:$A$50,A72,'USCG Summary'!$W$25:$W$50)/3.2808^2</f>
        <v>0</v>
      </c>
      <c r="AE72" s="155">
        <f>SUMIF('USCG Summary'!$A$25:$A$50,A72,'USCG Summary'!$Z$25:$Z$50)/3.2808^2</f>
        <v>0</v>
      </c>
      <c r="AF72" s="155">
        <f>SUMIF(Comp!$A$75:$A$400,Areas!A72,Comp!$F$75:$F$400)</f>
        <v>0</v>
      </c>
      <c r="AG72" s="155">
        <f>SUMIF(Comp!$A$75:$A$400,Areas!A72,Comp!$G$75:$G$400)</f>
        <v>0</v>
      </c>
      <c r="AH72" s="155"/>
      <c r="AI72" s="155">
        <f>SUMIF('Flt III'!D:D,A72,'Flt III'!F:F)/3.2808^3</f>
        <v>18.378303870580673</v>
      </c>
      <c r="AK72" s="147">
        <f t="shared" si="17"/>
        <v>18.378303870580673</v>
      </c>
    </row>
    <row r="73" spans="1:37" s="148" customFormat="1">
      <c r="A73" s="146" t="s">
        <v>1308</v>
      </c>
      <c r="B73" s="146"/>
      <c r="C73" s="147">
        <f t="shared" si="16"/>
        <v>27.221252736841471</v>
      </c>
      <c r="D73" s="147">
        <f t="shared" si="16"/>
        <v>0</v>
      </c>
      <c r="E73" s="147">
        <f t="shared" si="16"/>
        <v>0</v>
      </c>
      <c r="F73" s="147">
        <f t="shared" si="16"/>
        <v>0</v>
      </c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S73" s="155">
        <f>SUMIF('Flt III'!D:D,A73,'Flt III'!E:E)/3.2808^2</f>
        <v>27.221252736841471</v>
      </c>
      <c r="T73" s="155">
        <f>SUMIF('Flt IIa'!A:A,A73,'Flt IIa'!E:E)/3.2808^2</f>
        <v>0</v>
      </c>
      <c r="U73" s="155">
        <f>SUMIF('OPC Des'!A:A,A73,'OPC Des'!F:F)/3.2808^2</f>
        <v>0</v>
      </c>
      <c r="V73" s="155">
        <f>SUMIF('LCS 5'!A:A,A73,'LCS 5'!E:E)</f>
        <v>0</v>
      </c>
      <c r="W73" s="155">
        <f>SUMIF('USCG Summary'!$A$25:$A$50,A73,'USCG Summary'!$F$25:$F$50)/3.2808^2</f>
        <v>0</v>
      </c>
      <c r="X73" s="155">
        <f>SUMIF('USCG Summary'!$A$25:$A$50,A73,'USCG Summary'!$I$25:$I$50)/3.2808^2</f>
        <v>0</v>
      </c>
      <c r="Y73" s="155">
        <f>SUMIF('USCG Summary'!$A$25:$A$50,A73,'USCG Summary'!$L$25:$L$50)/3.2808^2</f>
        <v>0</v>
      </c>
      <c r="Z73" s="155">
        <f>SUMIF('USCG Summary'!$A$25:$A$50,A73,'USCG Summary'!$O$25:$O$50)/3.2808^2</f>
        <v>0</v>
      </c>
      <c r="AA73" s="155">
        <f>SUMIF('USCG Summary'!$A$25:$A$50,A73,'USCG Summary'!$P$25:$P$50)/3.2808^2</f>
        <v>0</v>
      </c>
      <c r="AB73" s="155">
        <f>SUMIF('USCG Summary'!$A$25:$A$50,A73,'USCG Summary'!$Q$25:$Q$50)/3.2808^2</f>
        <v>0</v>
      </c>
      <c r="AC73" s="155">
        <f>SUMIF('USCG Summary'!$A$25:$A$50,A73,'USCG Summary'!$T$25:$T$50)/3.2808^2</f>
        <v>0</v>
      </c>
      <c r="AD73" s="155">
        <f>SUMIF('USCG Summary'!$A$25:$A$50,A73,'USCG Summary'!$W$25:$W$50)/3.2808^2</f>
        <v>0</v>
      </c>
      <c r="AE73" s="155">
        <f>SUMIF('USCG Summary'!$A$25:$A$50,A73,'USCG Summary'!$Z$25:$Z$50)/3.2808^2</f>
        <v>0</v>
      </c>
      <c r="AF73" s="155">
        <f>SUMIF(Comp!$A$75:$A$400,Areas!A73,Comp!$F$75:$F$400)</f>
        <v>0</v>
      </c>
      <c r="AG73" s="155">
        <f>SUMIF(Comp!$A$75:$A$400,Areas!A73,Comp!$G$75:$G$400)</f>
        <v>0</v>
      </c>
      <c r="AH73" s="155"/>
      <c r="AI73" s="155">
        <f>SUMIF('Flt III'!D:D,A73,'Flt III'!F:F)/3.2808^3</f>
        <v>51.51022302093412</v>
      </c>
      <c r="AK73" s="147">
        <f t="shared" si="17"/>
        <v>51.51022302093412</v>
      </c>
    </row>
    <row r="74" spans="1:37" s="148" customFormat="1">
      <c r="A74" s="146" t="s">
        <v>1305</v>
      </c>
      <c r="B74" s="146"/>
      <c r="C74" s="147">
        <f t="shared" si="16"/>
        <v>66.891815599064358</v>
      </c>
      <c r="D74" s="147">
        <f t="shared" si="16"/>
        <v>0</v>
      </c>
      <c r="E74" s="147">
        <f t="shared" si="16"/>
        <v>0</v>
      </c>
      <c r="F74" s="147">
        <f t="shared" si="16"/>
        <v>0</v>
      </c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S74" s="155">
        <f>SUMIF('Flt III'!D:D,A74,'Flt III'!E:E)/3.2808^2</f>
        <v>66.891815599064358</v>
      </c>
      <c r="T74" s="155">
        <f>SUMIF('Flt IIa'!A:A,A74,'Flt IIa'!E:E)/3.2808^2</f>
        <v>0</v>
      </c>
      <c r="U74" s="155">
        <f>SUMIF('OPC Des'!A:A,A74,'OPC Des'!F:F)/3.2808^2</f>
        <v>0</v>
      </c>
      <c r="V74" s="155">
        <f>SUMIF('LCS 5'!A:A,A74,'LCS 5'!E:E)</f>
        <v>0</v>
      </c>
      <c r="W74" s="155">
        <f>SUMIF('USCG Summary'!$A$25:$A$50,A74,'USCG Summary'!$F$25:$F$50)/3.2808^2</f>
        <v>0</v>
      </c>
      <c r="X74" s="155">
        <f>SUMIF('USCG Summary'!$A$25:$A$50,A74,'USCG Summary'!$I$25:$I$50)/3.2808^2</f>
        <v>0</v>
      </c>
      <c r="Y74" s="155">
        <f>SUMIF('USCG Summary'!$A$25:$A$50,A74,'USCG Summary'!$L$25:$L$50)/3.2808^2</f>
        <v>0</v>
      </c>
      <c r="Z74" s="155">
        <f>SUMIF('USCG Summary'!$A$25:$A$50,A74,'USCG Summary'!$O$25:$O$50)/3.2808^2</f>
        <v>0</v>
      </c>
      <c r="AA74" s="155">
        <f>SUMIF('USCG Summary'!$A$25:$A$50,A74,'USCG Summary'!$P$25:$P$50)/3.2808^2</f>
        <v>0</v>
      </c>
      <c r="AB74" s="155">
        <f>SUMIF('USCG Summary'!$A$25:$A$50,A74,'USCG Summary'!$Q$25:$Q$50)/3.2808^2</f>
        <v>0</v>
      </c>
      <c r="AC74" s="155">
        <f>SUMIF('USCG Summary'!$A$25:$A$50,A74,'USCG Summary'!$T$25:$T$50)/3.2808^2</f>
        <v>0</v>
      </c>
      <c r="AD74" s="155">
        <f>SUMIF('USCG Summary'!$A$25:$A$50,A74,'USCG Summary'!$W$25:$W$50)/3.2808^2</f>
        <v>0</v>
      </c>
      <c r="AE74" s="155">
        <f>SUMIF('USCG Summary'!$A$25:$A$50,A74,'USCG Summary'!$Z$25:$Z$50)/3.2808^2</f>
        <v>0</v>
      </c>
      <c r="AF74" s="155">
        <f>SUMIF(Comp!$A$75:$A$400,Areas!A74,Comp!$F$75:$F$400)</f>
        <v>0</v>
      </c>
      <c r="AG74" s="155">
        <f>SUMIF(Comp!$A$75:$A$400,Areas!A74,Comp!$G$75:$G$400)</f>
        <v>0</v>
      </c>
      <c r="AH74" s="155"/>
      <c r="AI74" s="155">
        <f>SUMIF('Flt III'!D:D,A74,'Flt III'!F:F)/3.2808^3</f>
        <v>190.83419073011271</v>
      </c>
      <c r="AK74" s="147">
        <f t="shared" si="17"/>
        <v>190.83419073011271</v>
      </c>
    </row>
    <row r="75" spans="1:37" s="148" customFormat="1">
      <c r="A75" s="146" t="s">
        <v>1298</v>
      </c>
      <c r="B75" s="146"/>
      <c r="C75" s="147">
        <f t="shared" si="16"/>
        <v>73.023565362311928</v>
      </c>
      <c r="D75" s="147">
        <f t="shared" si="16"/>
        <v>0</v>
      </c>
      <c r="E75" s="147">
        <f t="shared" si="16"/>
        <v>0</v>
      </c>
      <c r="F75" s="147">
        <f t="shared" si="16"/>
        <v>0</v>
      </c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S75" s="155">
        <f>SUMIF('Flt III'!D:D,A75,'Flt III'!E:E)/3.2808^2</f>
        <v>73.023565362311928</v>
      </c>
      <c r="T75" s="155">
        <f>SUMIF('Flt IIa'!A:A,A75,'Flt IIa'!E:E)/3.2808^2</f>
        <v>0</v>
      </c>
      <c r="U75" s="155">
        <f>SUMIF('OPC Des'!A:A,A75,'OPC Des'!F:F)/3.2808^2</f>
        <v>0</v>
      </c>
      <c r="V75" s="155">
        <f>SUMIF('LCS 5'!A:A,A75,'LCS 5'!E:E)</f>
        <v>0</v>
      </c>
      <c r="W75" s="155">
        <f>SUMIF('USCG Summary'!$A$25:$A$50,A75,'USCG Summary'!$F$25:$F$50)/3.2808^2</f>
        <v>0</v>
      </c>
      <c r="X75" s="155">
        <f>SUMIF('USCG Summary'!$A$25:$A$50,A75,'USCG Summary'!$I$25:$I$50)/3.2808^2</f>
        <v>0</v>
      </c>
      <c r="Y75" s="155">
        <f>SUMIF('USCG Summary'!$A$25:$A$50,A75,'USCG Summary'!$L$25:$L$50)/3.2808^2</f>
        <v>0</v>
      </c>
      <c r="Z75" s="155">
        <f>SUMIF('USCG Summary'!$A$25:$A$50,A75,'USCG Summary'!$O$25:$O$50)/3.2808^2</f>
        <v>0</v>
      </c>
      <c r="AA75" s="155">
        <f>SUMIF('USCG Summary'!$A$25:$A$50,A75,'USCG Summary'!$P$25:$P$50)/3.2808^2</f>
        <v>0</v>
      </c>
      <c r="AB75" s="155">
        <f>SUMIF('USCG Summary'!$A$25:$A$50,A75,'USCG Summary'!$Q$25:$Q$50)/3.2808^2</f>
        <v>0</v>
      </c>
      <c r="AC75" s="155">
        <f>SUMIF('USCG Summary'!$A$25:$A$50,A75,'USCG Summary'!$T$25:$T$50)/3.2808^2</f>
        <v>0</v>
      </c>
      <c r="AD75" s="155">
        <f>SUMIF('USCG Summary'!$A$25:$A$50,A75,'USCG Summary'!$W$25:$W$50)/3.2808^2</f>
        <v>0</v>
      </c>
      <c r="AE75" s="155">
        <f>SUMIF('USCG Summary'!$A$25:$A$50,A75,'USCG Summary'!$Z$25:$Z$50)/3.2808^2</f>
        <v>0</v>
      </c>
      <c r="AF75" s="155">
        <f>SUMIF(Comp!$A$75:$A$400,Areas!A75,Comp!$F$75:$F$400)</f>
        <v>0</v>
      </c>
      <c r="AG75" s="155">
        <f>SUMIF(Comp!$A$75:$A$400,Areas!A75,Comp!$G$75:$G$400)</f>
        <v>0</v>
      </c>
      <c r="AH75" s="155"/>
      <c r="AI75" s="155">
        <f>SUMIF('Flt III'!D:D,A75,'Flt III'!F:F)/3.2808^3</f>
        <v>139.15406043148448</v>
      </c>
      <c r="AK75" s="147">
        <f t="shared" si="17"/>
        <v>139.15406043148448</v>
      </c>
    </row>
    <row r="76" spans="1:37" s="148" customFormat="1">
      <c r="A76" s="146" t="s">
        <v>1296</v>
      </c>
      <c r="B76" s="146"/>
      <c r="C76" s="147">
        <f t="shared" si="16"/>
        <v>4.2736437743846674</v>
      </c>
      <c r="D76" s="147">
        <f t="shared" si="16"/>
        <v>0</v>
      </c>
      <c r="E76" s="147">
        <f t="shared" si="16"/>
        <v>0</v>
      </c>
      <c r="F76" s="147">
        <f t="shared" si="16"/>
        <v>0</v>
      </c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S76" s="155">
        <f>SUMIF('Flt III'!D:D,A76,'Flt III'!E:E)/3.2808^2</f>
        <v>4.2736437743846674</v>
      </c>
      <c r="T76" s="155">
        <f>SUMIF('Flt IIa'!A:A,A76,'Flt IIa'!E:E)/3.2808^2</f>
        <v>0</v>
      </c>
      <c r="U76" s="155">
        <f>SUMIF('OPC Des'!A:A,A76,'OPC Des'!F:F)/3.2808^2</f>
        <v>0</v>
      </c>
      <c r="V76" s="155">
        <f>SUMIF('LCS 5'!A:A,A76,'LCS 5'!E:E)</f>
        <v>0</v>
      </c>
      <c r="W76" s="155">
        <f>SUMIF('USCG Summary'!$A$25:$A$50,A76,'USCG Summary'!$F$25:$F$50)/3.2808^2</f>
        <v>0</v>
      </c>
      <c r="X76" s="155">
        <f>SUMIF('USCG Summary'!$A$25:$A$50,A76,'USCG Summary'!$I$25:$I$50)/3.2808^2</f>
        <v>0</v>
      </c>
      <c r="Y76" s="155">
        <f>SUMIF('USCG Summary'!$A$25:$A$50,A76,'USCG Summary'!$L$25:$L$50)/3.2808^2</f>
        <v>0</v>
      </c>
      <c r="Z76" s="155">
        <f>SUMIF('USCG Summary'!$A$25:$A$50,A76,'USCG Summary'!$O$25:$O$50)/3.2808^2</f>
        <v>0</v>
      </c>
      <c r="AA76" s="155">
        <f>SUMIF('USCG Summary'!$A$25:$A$50,A76,'USCG Summary'!$P$25:$P$50)/3.2808^2</f>
        <v>0</v>
      </c>
      <c r="AB76" s="155">
        <f>SUMIF('USCG Summary'!$A$25:$A$50,A76,'USCG Summary'!$Q$25:$Q$50)/3.2808^2</f>
        <v>0</v>
      </c>
      <c r="AC76" s="155">
        <f>SUMIF('USCG Summary'!$A$25:$A$50,A76,'USCG Summary'!$T$25:$T$50)/3.2808^2</f>
        <v>0</v>
      </c>
      <c r="AD76" s="155">
        <f>SUMIF('USCG Summary'!$A$25:$A$50,A76,'USCG Summary'!$W$25:$W$50)/3.2808^2</f>
        <v>0</v>
      </c>
      <c r="AE76" s="155">
        <f>SUMIF('USCG Summary'!$A$25:$A$50,A76,'USCG Summary'!$Z$25:$Z$50)/3.2808^2</f>
        <v>0</v>
      </c>
      <c r="AF76" s="155">
        <f>SUMIF(Comp!$A$75:$A$400,Areas!A76,Comp!$F$75:$F$400)</f>
        <v>0</v>
      </c>
      <c r="AG76" s="155">
        <f>SUMIF(Comp!$A$75:$A$400,Areas!A76,Comp!$G$75:$G$400)</f>
        <v>0</v>
      </c>
      <c r="AH76" s="155"/>
      <c r="AI76" s="155">
        <f>SUMIF('Flt III'!D:D,A76,'Flt III'!F:F)/3.2808^3</f>
        <v>12.601456428980585</v>
      </c>
      <c r="AK76" s="147">
        <f t="shared" si="17"/>
        <v>12.601456428980585</v>
      </c>
    </row>
    <row r="77" spans="1:37" s="134" customFormat="1">
      <c r="A77" s="140">
        <v>1.23</v>
      </c>
      <c r="B77" s="140" t="str">
        <f>Comp!B101</f>
        <v>ROCKETS</v>
      </c>
      <c r="C77" s="149">
        <f>IF(S77=0,SUM(C78),S77)</f>
        <v>2.6942536838512035</v>
      </c>
      <c r="D77" s="149">
        <f>IF(T77=0,SUM(D78),T77)</f>
        <v>0</v>
      </c>
      <c r="E77" s="149">
        <f>IF(U77=0,SUM(E78),U77)</f>
        <v>0</v>
      </c>
      <c r="F77" s="149">
        <f>IF(V77=0,SUM(F78),V77)</f>
        <v>0</v>
      </c>
      <c r="G77" s="149"/>
      <c r="H77" s="149"/>
      <c r="I77" s="149"/>
      <c r="J77" s="149"/>
      <c r="K77" s="149"/>
      <c r="L77" s="149"/>
      <c r="M77" s="149"/>
      <c r="N77" s="149"/>
      <c r="O77" s="149"/>
      <c r="P77" s="149">
        <f>AF77</f>
        <v>0</v>
      </c>
      <c r="Q77" s="149">
        <f>AG77</f>
        <v>0</v>
      </c>
      <c r="S77" s="153">
        <f>SUMIF('Flt III'!D:D,A77,'Flt III'!E:E)/3.2808^2</f>
        <v>0</v>
      </c>
      <c r="T77" s="153">
        <f>SUMIF('Flt IIa'!A:A,A77,'Flt IIa'!E:E)/3.2808^2</f>
        <v>0</v>
      </c>
      <c r="U77" s="153">
        <f>SUMIF('OPC Des'!A:A,A77,'OPC Des'!F:F)/3.2808^2</f>
        <v>0</v>
      </c>
      <c r="V77" s="153">
        <f>SUMIF('LCS 5'!A:A,A77,'LCS 5'!E:E)</f>
        <v>0</v>
      </c>
      <c r="W77" s="153">
        <f>SUMIF('USCG Summary'!$A$25:$A$50,A77,'USCG Summary'!$F$25:$F$50)/3.2808^2</f>
        <v>0</v>
      </c>
      <c r="X77" s="153">
        <f>SUMIF('USCG Summary'!$A$25:$A$50,A77,'USCG Summary'!$I$25:$I$50)/3.2808^2</f>
        <v>0</v>
      </c>
      <c r="Y77" s="153">
        <f>SUMIF('USCG Summary'!$A$25:$A$50,A77,'USCG Summary'!$L$25:$L$50)/3.2808^2</f>
        <v>0</v>
      </c>
      <c r="Z77" s="153">
        <f>SUMIF('USCG Summary'!$A$25:$A$50,A77,'USCG Summary'!$O$25:$O$50)/3.2808^2</f>
        <v>0</v>
      </c>
      <c r="AA77" s="153">
        <f>SUMIF('USCG Summary'!$A$25:$A$50,A77,'USCG Summary'!$P$25:$P$50)/3.2808^2</f>
        <v>0</v>
      </c>
      <c r="AB77" s="153">
        <f>SUMIF('USCG Summary'!$A$25:$A$50,A77,'USCG Summary'!$Q$25:$Q$50)/3.2808^2</f>
        <v>0</v>
      </c>
      <c r="AC77" s="153">
        <f>SUMIF('USCG Summary'!$A$25:$A$50,A77,'USCG Summary'!$T$25:$T$50)/3.2808^2</f>
        <v>0</v>
      </c>
      <c r="AD77" s="153">
        <f>SUMIF('USCG Summary'!$A$25:$A$50,A77,'USCG Summary'!$W$25:$W$50)/3.2808^2</f>
        <v>0</v>
      </c>
      <c r="AE77" s="153">
        <f>SUMIF('USCG Summary'!$A$25:$A$50,A77,'USCG Summary'!$Z$25:$Z$50)/3.2808^2</f>
        <v>0</v>
      </c>
      <c r="AF77" s="153">
        <f>SUMIF(Comp!$A$75:$A$400,Areas!A77,Comp!$F$75:$F$400)</f>
        <v>0</v>
      </c>
      <c r="AG77" s="153">
        <f>SUMIF(Comp!$A$75:$A$400,Areas!A77,Comp!$G$75:$G$400)</f>
        <v>0</v>
      </c>
      <c r="AH77" s="153"/>
      <c r="AI77" s="153">
        <f>SUMIF('Flt III'!D:D,A77,'Flt III'!F:F)/3.2808^3</f>
        <v>0</v>
      </c>
      <c r="AK77" s="149">
        <f>IF(AI77=0,SUM(AK78),AI77)</f>
        <v>9.146675115866806</v>
      </c>
    </row>
    <row r="78" spans="1:37" s="148" customFormat="1">
      <c r="A78" s="146" t="s">
        <v>1293</v>
      </c>
      <c r="B78" s="146"/>
      <c r="C78" s="147">
        <f>S78</f>
        <v>2.6942536838512035</v>
      </c>
      <c r="D78" s="147">
        <f>T78</f>
        <v>0</v>
      </c>
      <c r="E78" s="147">
        <f>U78</f>
        <v>0</v>
      </c>
      <c r="F78" s="147">
        <f>V78</f>
        <v>0</v>
      </c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S78" s="155">
        <f>SUMIF('Flt III'!D:D,A78,'Flt III'!E:E)/3.2808^2</f>
        <v>2.6942536838512035</v>
      </c>
      <c r="T78" s="155">
        <f>SUMIF('Flt IIa'!A:A,A78,'Flt IIa'!E:E)/3.2808^2</f>
        <v>0</v>
      </c>
      <c r="U78" s="155">
        <f>SUMIF('OPC Des'!A:A,A78,'OPC Des'!F:F)/3.2808^2</f>
        <v>0</v>
      </c>
      <c r="V78" s="155">
        <f>SUMIF('LCS 5'!A:A,A78,'LCS 5'!E:E)</f>
        <v>0</v>
      </c>
      <c r="W78" s="155">
        <f>SUMIF('USCG Summary'!$A$25:$A$50,A78,'USCG Summary'!$F$25:$F$50)/3.2808^2</f>
        <v>0</v>
      </c>
      <c r="X78" s="155">
        <f>SUMIF('USCG Summary'!$A$25:$A$50,A78,'USCG Summary'!$I$25:$I$50)/3.2808^2</f>
        <v>0</v>
      </c>
      <c r="Y78" s="155">
        <f>SUMIF('USCG Summary'!$A$25:$A$50,A78,'USCG Summary'!$L$25:$L$50)/3.2808^2</f>
        <v>0</v>
      </c>
      <c r="Z78" s="155">
        <f>SUMIF('USCG Summary'!$A$25:$A$50,A78,'USCG Summary'!$O$25:$O$50)/3.2808^2</f>
        <v>0</v>
      </c>
      <c r="AA78" s="155">
        <f>SUMIF('USCG Summary'!$A$25:$A$50,A78,'USCG Summary'!$P$25:$P$50)/3.2808^2</f>
        <v>0</v>
      </c>
      <c r="AB78" s="155">
        <f>SUMIF('USCG Summary'!$A$25:$A$50,A78,'USCG Summary'!$Q$25:$Q$50)/3.2808^2</f>
        <v>0</v>
      </c>
      <c r="AC78" s="155">
        <f>SUMIF('USCG Summary'!$A$25:$A$50,A78,'USCG Summary'!$T$25:$T$50)/3.2808^2</f>
        <v>0</v>
      </c>
      <c r="AD78" s="155">
        <f>SUMIF('USCG Summary'!$A$25:$A$50,A78,'USCG Summary'!$W$25:$W$50)/3.2808^2</f>
        <v>0</v>
      </c>
      <c r="AE78" s="155">
        <f>SUMIF('USCG Summary'!$A$25:$A$50,A78,'USCG Summary'!$Z$25:$Z$50)/3.2808^2</f>
        <v>0</v>
      </c>
      <c r="AF78" s="155">
        <f>SUMIF(Comp!$A$75:$A$400,Areas!A78,Comp!$F$75:$F$400)</f>
        <v>0</v>
      </c>
      <c r="AG78" s="155">
        <f>SUMIF(Comp!$A$75:$A$400,Areas!A78,Comp!$G$75:$G$400)</f>
        <v>0</v>
      </c>
      <c r="AH78" s="155"/>
      <c r="AI78" s="155">
        <f>SUMIF('Flt III'!D:D,A78,'Flt III'!F:F)/3.2808^3</f>
        <v>9.146675115866806</v>
      </c>
      <c r="AK78" s="147">
        <f>AI78</f>
        <v>9.146675115866806</v>
      </c>
    </row>
    <row r="79" spans="1:37" s="134" customFormat="1">
      <c r="A79" s="140">
        <v>1.24</v>
      </c>
      <c r="B79" s="140" t="str">
        <f>Comp!B102</f>
        <v>TORPEDOS</v>
      </c>
      <c r="C79" s="149">
        <f>IF(S79=0,SUM(C80),S79)</f>
        <v>40.135089359438616</v>
      </c>
      <c r="D79" s="149">
        <f>IF(T79=0,SUM(D80),T79)</f>
        <v>0</v>
      </c>
      <c r="E79" s="149">
        <f>IF(U79=0,SUM(E80),U79)</f>
        <v>0</v>
      </c>
      <c r="F79" s="149">
        <f>IF(V79=0,SUM(F80),V79)</f>
        <v>0</v>
      </c>
      <c r="G79" s="149"/>
      <c r="H79" s="149"/>
      <c r="I79" s="149"/>
      <c r="J79" s="149"/>
      <c r="K79" s="149"/>
      <c r="L79" s="149"/>
      <c r="M79" s="149"/>
      <c r="N79" s="149"/>
      <c r="O79" s="149"/>
      <c r="P79" s="149">
        <f>AF79</f>
        <v>0</v>
      </c>
      <c r="Q79" s="149">
        <f>AG79</f>
        <v>0</v>
      </c>
      <c r="S79" s="153">
        <f>SUMIF('Flt III'!D:D,A79,'Flt III'!E:E)/3.2808^2</f>
        <v>0</v>
      </c>
      <c r="T79" s="153">
        <f>SUMIF('Flt IIa'!A:A,A79,'Flt IIa'!E:E)/3.2808^2</f>
        <v>0</v>
      </c>
      <c r="U79" s="153">
        <f>SUMIF('OPC Des'!A:A,A79,'OPC Des'!F:F)/3.2808^2</f>
        <v>0</v>
      </c>
      <c r="V79" s="153">
        <f>SUMIF('LCS 5'!A:A,A79,'LCS 5'!E:E)</f>
        <v>0</v>
      </c>
      <c r="W79" s="153">
        <f>SUMIF('USCG Summary'!$A$25:$A$50,A79,'USCG Summary'!$F$25:$F$50)/3.2808^2</f>
        <v>0</v>
      </c>
      <c r="X79" s="153">
        <f>SUMIF('USCG Summary'!$A$25:$A$50,A79,'USCG Summary'!$I$25:$I$50)/3.2808^2</f>
        <v>0</v>
      </c>
      <c r="Y79" s="153">
        <f>SUMIF('USCG Summary'!$A$25:$A$50,A79,'USCG Summary'!$L$25:$L$50)/3.2808^2</f>
        <v>0</v>
      </c>
      <c r="Z79" s="153">
        <f>SUMIF('USCG Summary'!$A$25:$A$50,A79,'USCG Summary'!$O$25:$O$50)/3.2808^2</f>
        <v>0</v>
      </c>
      <c r="AA79" s="153">
        <f>SUMIF('USCG Summary'!$A$25:$A$50,A79,'USCG Summary'!$P$25:$P$50)/3.2808^2</f>
        <v>0</v>
      </c>
      <c r="AB79" s="153">
        <f>SUMIF('USCG Summary'!$A$25:$A$50,A79,'USCG Summary'!$Q$25:$Q$50)/3.2808^2</f>
        <v>0</v>
      </c>
      <c r="AC79" s="153">
        <f>SUMIF('USCG Summary'!$A$25:$A$50,A79,'USCG Summary'!$T$25:$T$50)/3.2808^2</f>
        <v>0</v>
      </c>
      <c r="AD79" s="153">
        <f>SUMIF('USCG Summary'!$A$25:$A$50,A79,'USCG Summary'!$W$25:$W$50)/3.2808^2</f>
        <v>0</v>
      </c>
      <c r="AE79" s="153">
        <f>SUMIF('USCG Summary'!$A$25:$A$50,A79,'USCG Summary'!$Z$25:$Z$50)/3.2808^2</f>
        <v>0</v>
      </c>
      <c r="AF79" s="153">
        <f>SUMIF(Comp!$A$75:$A$400,Areas!A79,Comp!$F$75:$F$400)</f>
        <v>0</v>
      </c>
      <c r="AG79" s="153">
        <f>SUMIF(Comp!$A$75:$A$400,Areas!A79,Comp!$G$75:$G$400)</f>
        <v>0</v>
      </c>
      <c r="AH79" s="153"/>
      <c r="AI79" s="153">
        <f>SUMIF('Flt III'!D:D,A79,'Flt III'!F:F)/3.2808^3</f>
        <v>0</v>
      </c>
      <c r="AK79" s="149">
        <f>IF(AI79=0,SUM(AK80),AI79)</f>
        <v>112.0538496392723</v>
      </c>
    </row>
    <row r="80" spans="1:37" s="148" customFormat="1">
      <c r="A80" s="146" t="s">
        <v>1290</v>
      </c>
      <c r="B80" s="146"/>
      <c r="C80" s="147">
        <f t="shared" ref="C80:F85" si="18">S80</f>
        <v>40.135089359438616</v>
      </c>
      <c r="D80" s="147">
        <f t="shared" si="18"/>
        <v>0</v>
      </c>
      <c r="E80" s="147">
        <f t="shared" si="18"/>
        <v>0</v>
      </c>
      <c r="F80" s="147">
        <f t="shared" si="18"/>
        <v>0</v>
      </c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S80" s="155">
        <f>SUMIF('Flt III'!D:D,A80,'Flt III'!E:E)/3.2808^2</f>
        <v>40.135089359438616</v>
      </c>
      <c r="T80" s="155">
        <f>SUMIF('Flt IIa'!A:A,A80,'Flt IIa'!E:E)/3.2808^2</f>
        <v>0</v>
      </c>
      <c r="U80" s="155">
        <f>SUMIF('OPC Des'!A:A,A80,'OPC Des'!F:F)/3.2808^2</f>
        <v>0</v>
      </c>
      <c r="V80" s="155">
        <f>SUMIF('LCS 5'!A:A,A80,'LCS 5'!E:E)</f>
        <v>0</v>
      </c>
      <c r="W80" s="155">
        <f>SUMIF('USCG Summary'!$A$25:$A$50,A80,'USCG Summary'!$F$25:$F$50)/3.2808^2</f>
        <v>0</v>
      </c>
      <c r="X80" s="155">
        <f>SUMIF('USCG Summary'!$A$25:$A$50,A80,'USCG Summary'!$I$25:$I$50)/3.2808^2</f>
        <v>0</v>
      </c>
      <c r="Y80" s="155">
        <f>SUMIF('USCG Summary'!$A$25:$A$50,A80,'USCG Summary'!$L$25:$L$50)/3.2808^2</f>
        <v>0</v>
      </c>
      <c r="Z80" s="155">
        <f>SUMIF('USCG Summary'!$A$25:$A$50,A80,'USCG Summary'!$O$25:$O$50)/3.2808^2</f>
        <v>0</v>
      </c>
      <c r="AA80" s="155">
        <f>SUMIF('USCG Summary'!$A$25:$A$50,A80,'USCG Summary'!$P$25:$P$50)/3.2808^2</f>
        <v>0</v>
      </c>
      <c r="AB80" s="155">
        <f>SUMIF('USCG Summary'!$A$25:$A$50,A80,'USCG Summary'!$Q$25:$Q$50)/3.2808^2</f>
        <v>0</v>
      </c>
      <c r="AC80" s="155">
        <f>SUMIF('USCG Summary'!$A$25:$A$50,A80,'USCG Summary'!$T$25:$T$50)/3.2808^2</f>
        <v>0</v>
      </c>
      <c r="AD80" s="155">
        <f>SUMIF('USCG Summary'!$A$25:$A$50,A80,'USCG Summary'!$W$25:$W$50)/3.2808^2</f>
        <v>0</v>
      </c>
      <c r="AE80" s="155">
        <f>SUMIF('USCG Summary'!$A$25:$A$50,A80,'USCG Summary'!$Z$25:$Z$50)/3.2808^2</f>
        <v>0</v>
      </c>
      <c r="AF80" s="155">
        <f>SUMIF(Comp!$A$75:$A$400,Areas!A80,Comp!$F$75:$F$400)</f>
        <v>0</v>
      </c>
      <c r="AG80" s="155">
        <f>SUMIF(Comp!$A$75:$A$400,Areas!A80,Comp!$G$75:$G$400)</f>
        <v>0</v>
      </c>
      <c r="AH80" s="155"/>
      <c r="AI80" s="155">
        <f>SUMIF('Flt III'!D:D,A80,'Flt III'!F:F)/3.2808^3</f>
        <v>112.0538496392723</v>
      </c>
      <c r="AK80" s="147">
        <f t="shared" ref="AK80:AK85" si="19">AI80</f>
        <v>112.0538496392723</v>
      </c>
    </row>
    <row r="81" spans="1:37" s="134" customFormat="1">
      <c r="A81" s="140">
        <v>1.25</v>
      </c>
      <c r="B81" s="140" t="str">
        <f>Comp!B103</f>
        <v>DEPTH CHARGES</v>
      </c>
      <c r="C81" s="149">
        <f t="shared" si="18"/>
        <v>0</v>
      </c>
      <c r="D81" s="149">
        <f t="shared" si="18"/>
        <v>0</v>
      </c>
      <c r="E81" s="149">
        <f t="shared" si="18"/>
        <v>0</v>
      </c>
      <c r="F81" s="149">
        <f t="shared" si="18"/>
        <v>0</v>
      </c>
      <c r="G81" s="149"/>
      <c r="H81" s="149"/>
      <c r="I81" s="149"/>
      <c r="J81" s="149"/>
      <c r="K81" s="149"/>
      <c r="L81" s="149"/>
      <c r="M81" s="149"/>
      <c r="N81" s="149"/>
      <c r="O81" s="149"/>
      <c r="P81" s="149">
        <f t="shared" ref="P81:Q84" si="20">AF81</f>
        <v>0</v>
      </c>
      <c r="Q81" s="149">
        <f t="shared" si="20"/>
        <v>0</v>
      </c>
      <c r="S81" s="153">
        <f>SUMIF('Flt III'!D:D,A81,'Flt III'!E:E)/3.2808^2</f>
        <v>0</v>
      </c>
      <c r="T81" s="153">
        <f>SUMIF('Flt IIa'!A:A,A81,'Flt IIa'!E:E)/3.2808^2</f>
        <v>0</v>
      </c>
      <c r="U81" s="153">
        <f>SUMIF('OPC Des'!A:A,A81,'OPC Des'!F:F)/3.2808^2</f>
        <v>0</v>
      </c>
      <c r="V81" s="153">
        <f>SUMIF('LCS 5'!A:A,A81,'LCS 5'!E:E)</f>
        <v>0</v>
      </c>
      <c r="W81" s="153">
        <f>SUMIF('USCG Summary'!$A$25:$A$50,A81,'USCG Summary'!$F$25:$F$50)/3.2808^2</f>
        <v>0</v>
      </c>
      <c r="X81" s="153">
        <f>SUMIF('USCG Summary'!$A$25:$A$50,A81,'USCG Summary'!$I$25:$I$50)/3.2808^2</f>
        <v>0</v>
      </c>
      <c r="Y81" s="153">
        <f>SUMIF('USCG Summary'!$A$25:$A$50,A81,'USCG Summary'!$L$25:$L$50)/3.2808^2</f>
        <v>0</v>
      </c>
      <c r="Z81" s="153">
        <f>SUMIF('USCG Summary'!$A$25:$A$50,A81,'USCG Summary'!$O$25:$O$50)/3.2808^2</f>
        <v>0</v>
      </c>
      <c r="AA81" s="153">
        <f>SUMIF('USCG Summary'!$A$25:$A$50,A81,'USCG Summary'!$P$25:$P$50)/3.2808^2</f>
        <v>0</v>
      </c>
      <c r="AB81" s="153">
        <f>SUMIF('USCG Summary'!$A$25:$A$50,A81,'USCG Summary'!$Q$25:$Q$50)/3.2808^2</f>
        <v>0</v>
      </c>
      <c r="AC81" s="153">
        <f>SUMIF('USCG Summary'!$A$25:$A$50,A81,'USCG Summary'!$T$25:$T$50)/3.2808^2</f>
        <v>0</v>
      </c>
      <c r="AD81" s="153">
        <f>SUMIF('USCG Summary'!$A$25:$A$50,A81,'USCG Summary'!$W$25:$W$50)/3.2808^2</f>
        <v>0</v>
      </c>
      <c r="AE81" s="153">
        <f>SUMIF('USCG Summary'!$A$25:$A$50,A81,'USCG Summary'!$Z$25:$Z$50)/3.2808^2</f>
        <v>0</v>
      </c>
      <c r="AF81" s="153">
        <f>SUMIF(Comp!$A$75:$A$400,Areas!A81,Comp!$F$75:$F$400)</f>
        <v>0</v>
      </c>
      <c r="AG81" s="153">
        <f>SUMIF(Comp!$A$75:$A$400,Areas!A81,Comp!$G$75:$G$400)</f>
        <v>0</v>
      </c>
      <c r="AH81" s="153"/>
      <c r="AI81" s="153">
        <f>SUMIF('Flt III'!D:D,A81,'Flt III'!F:F)/3.2808^3</f>
        <v>0</v>
      </c>
      <c r="AK81" s="149">
        <f t="shared" si="19"/>
        <v>0</v>
      </c>
    </row>
    <row r="82" spans="1:37" s="134" customFormat="1">
      <c r="A82" s="140">
        <v>1.26</v>
      </c>
      <c r="B82" s="140" t="str">
        <f>Comp!B104</f>
        <v>MINES</v>
      </c>
      <c r="C82" s="149">
        <f t="shared" si="18"/>
        <v>0</v>
      </c>
      <c r="D82" s="149">
        <f t="shared" si="18"/>
        <v>0</v>
      </c>
      <c r="E82" s="149">
        <f t="shared" si="18"/>
        <v>0</v>
      </c>
      <c r="F82" s="149">
        <f t="shared" si="18"/>
        <v>0</v>
      </c>
      <c r="G82" s="149"/>
      <c r="H82" s="149"/>
      <c r="I82" s="149"/>
      <c r="J82" s="149"/>
      <c r="K82" s="149"/>
      <c r="L82" s="149"/>
      <c r="M82" s="149"/>
      <c r="N82" s="149"/>
      <c r="O82" s="149"/>
      <c r="P82" s="149">
        <f t="shared" si="20"/>
        <v>0</v>
      </c>
      <c r="Q82" s="149">
        <f t="shared" si="20"/>
        <v>0</v>
      </c>
      <c r="S82" s="153">
        <f>SUMIF('Flt III'!D:D,A82,'Flt III'!E:E)/3.2808^2</f>
        <v>0</v>
      </c>
      <c r="T82" s="153">
        <f>SUMIF('Flt IIa'!A:A,A82,'Flt IIa'!E:E)/3.2808^2</f>
        <v>0</v>
      </c>
      <c r="U82" s="153">
        <f>SUMIF('OPC Des'!A:A,A82,'OPC Des'!F:F)/3.2808^2</f>
        <v>0</v>
      </c>
      <c r="V82" s="153">
        <f>SUMIF('LCS 5'!A:A,A82,'LCS 5'!E:E)</f>
        <v>0</v>
      </c>
      <c r="W82" s="153">
        <f>SUMIF('USCG Summary'!$A$25:$A$50,A82,'USCG Summary'!$F$25:$F$50)/3.2808^2</f>
        <v>0</v>
      </c>
      <c r="X82" s="153">
        <f>SUMIF('USCG Summary'!$A$25:$A$50,A82,'USCG Summary'!$I$25:$I$50)/3.2808^2</f>
        <v>0</v>
      </c>
      <c r="Y82" s="153">
        <f>SUMIF('USCG Summary'!$A$25:$A$50,A82,'USCG Summary'!$L$25:$L$50)/3.2808^2</f>
        <v>0</v>
      </c>
      <c r="Z82" s="153">
        <f>SUMIF('USCG Summary'!$A$25:$A$50,A82,'USCG Summary'!$O$25:$O$50)/3.2808^2</f>
        <v>0</v>
      </c>
      <c r="AA82" s="153">
        <f>SUMIF('USCG Summary'!$A$25:$A$50,A82,'USCG Summary'!$P$25:$P$50)/3.2808^2</f>
        <v>0</v>
      </c>
      <c r="AB82" s="153">
        <f>SUMIF('USCG Summary'!$A$25:$A$50,A82,'USCG Summary'!$Q$25:$Q$50)/3.2808^2</f>
        <v>0</v>
      </c>
      <c r="AC82" s="153">
        <f>SUMIF('USCG Summary'!$A$25:$A$50,A82,'USCG Summary'!$T$25:$T$50)/3.2808^2</f>
        <v>0</v>
      </c>
      <c r="AD82" s="153">
        <f>SUMIF('USCG Summary'!$A$25:$A$50,A82,'USCG Summary'!$W$25:$W$50)/3.2808^2</f>
        <v>0</v>
      </c>
      <c r="AE82" s="153">
        <f>SUMIF('USCG Summary'!$A$25:$A$50,A82,'USCG Summary'!$Z$25:$Z$50)/3.2808^2</f>
        <v>0</v>
      </c>
      <c r="AF82" s="153">
        <f>SUMIF(Comp!$A$75:$A$400,Areas!A82,Comp!$F$75:$F$400)</f>
        <v>0</v>
      </c>
      <c r="AG82" s="153">
        <f>SUMIF(Comp!$A$75:$A$400,Areas!A82,Comp!$G$75:$G$400)</f>
        <v>0</v>
      </c>
      <c r="AH82" s="153"/>
      <c r="AI82" s="153">
        <f>SUMIF('Flt III'!D:D,A82,'Flt III'!F:F)/3.2808^3</f>
        <v>0</v>
      </c>
      <c r="AK82" s="149">
        <f t="shared" si="19"/>
        <v>0</v>
      </c>
    </row>
    <row r="83" spans="1:37" s="134" customFormat="1">
      <c r="A83" s="140">
        <v>1.27</v>
      </c>
      <c r="B83" s="140" t="str">
        <f>Comp!B105</f>
        <v>MULT EJECT RACK STOW</v>
      </c>
      <c r="C83" s="149">
        <f t="shared" si="18"/>
        <v>0</v>
      </c>
      <c r="D83" s="149">
        <f t="shared" si="18"/>
        <v>0</v>
      </c>
      <c r="E83" s="149">
        <f t="shared" si="18"/>
        <v>0</v>
      </c>
      <c r="F83" s="149">
        <f t="shared" si="18"/>
        <v>0</v>
      </c>
      <c r="G83" s="149"/>
      <c r="H83" s="149"/>
      <c r="I83" s="149"/>
      <c r="J83" s="149"/>
      <c r="K83" s="149"/>
      <c r="L83" s="149"/>
      <c r="M83" s="149"/>
      <c r="N83" s="149"/>
      <c r="O83" s="149"/>
      <c r="P83" s="149">
        <f t="shared" si="20"/>
        <v>0</v>
      </c>
      <c r="Q83" s="149">
        <f t="shared" si="20"/>
        <v>0</v>
      </c>
      <c r="S83" s="153">
        <f>SUMIF('Flt III'!D:D,A83,'Flt III'!E:E)/3.2808^2</f>
        <v>0</v>
      </c>
      <c r="T83" s="153">
        <f>SUMIF('Flt IIa'!A:A,A83,'Flt IIa'!E:E)/3.2808^2</f>
        <v>0</v>
      </c>
      <c r="U83" s="153">
        <f>SUMIF('OPC Des'!A:A,A83,'OPC Des'!F:F)/3.2808^2</f>
        <v>0</v>
      </c>
      <c r="V83" s="153">
        <f>SUMIF('LCS 5'!A:A,A83,'LCS 5'!E:E)</f>
        <v>0</v>
      </c>
      <c r="W83" s="153">
        <f>SUMIF('USCG Summary'!$A$25:$A$50,A83,'USCG Summary'!$F$25:$F$50)/3.2808^2</f>
        <v>0</v>
      </c>
      <c r="X83" s="153">
        <f>SUMIF('USCG Summary'!$A$25:$A$50,A83,'USCG Summary'!$I$25:$I$50)/3.2808^2</f>
        <v>0</v>
      </c>
      <c r="Y83" s="153">
        <f>SUMIF('USCG Summary'!$A$25:$A$50,A83,'USCG Summary'!$L$25:$L$50)/3.2808^2</f>
        <v>0</v>
      </c>
      <c r="Z83" s="153">
        <f>SUMIF('USCG Summary'!$A$25:$A$50,A83,'USCG Summary'!$O$25:$O$50)/3.2808^2</f>
        <v>0</v>
      </c>
      <c r="AA83" s="153">
        <f>SUMIF('USCG Summary'!$A$25:$A$50,A83,'USCG Summary'!$P$25:$P$50)/3.2808^2</f>
        <v>0</v>
      </c>
      <c r="AB83" s="153">
        <f>SUMIF('USCG Summary'!$A$25:$A$50,A83,'USCG Summary'!$Q$25:$Q$50)/3.2808^2</f>
        <v>0</v>
      </c>
      <c r="AC83" s="153">
        <f>SUMIF('USCG Summary'!$A$25:$A$50,A83,'USCG Summary'!$T$25:$T$50)/3.2808^2</f>
        <v>0</v>
      </c>
      <c r="AD83" s="153">
        <f>SUMIF('USCG Summary'!$A$25:$A$50,A83,'USCG Summary'!$W$25:$W$50)/3.2808^2</f>
        <v>0</v>
      </c>
      <c r="AE83" s="153">
        <f>SUMIF('USCG Summary'!$A$25:$A$50,A83,'USCG Summary'!$Z$25:$Z$50)/3.2808^2</f>
        <v>0</v>
      </c>
      <c r="AF83" s="153">
        <f>SUMIF(Comp!$A$75:$A$400,Areas!A83,Comp!$F$75:$F$400)</f>
        <v>0</v>
      </c>
      <c r="AG83" s="153">
        <f>SUMIF(Comp!$A$75:$A$400,Areas!A83,Comp!$G$75:$G$400)</f>
        <v>0</v>
      </c>
      <c r="AH83" s="153"/>
      <c r="AI83" s="153">
        <f>SUMIF('Flt III'!D:D,A83,'Flt III'!F:F)/3.2808^3</f>
        <v>0</v>
      </c>
      <c r="AK83" s="149">
        <f t="shared" si="19"/>
        <v>0</v>
      </c>
    </row>
    <row r="84" spans="1:37" s="134" customFormat="1">
      <c r="A84" s="140">
        <v>1.28</v>
      </c>
      <c r="B84" s="140" t="str">
        <f>Comp!B106</f>
        <v>WEAP MODULE STA &amp; SERV INTER</v>
      </c>
      <c r="C84" s="149">
        <f t="shared" si="18"/>
        <v>0</v>
      </c>
      <c r="D84" s="149">
        <f t="shared" si="18"/>
        <v>14.679037312016902</v>
      </c>
      <c r="E84" s="149">
        <f t="shared" si="18"/>
        <v>0</v>
      </c>
      <c r="F84" s="149">
        <f t="shared" si="18"/>
        <v>0</v>
      </c>
      <c r="G84" s="149"/>
      <c r="H84" s="149"/>
      <c r="I84" s="149"/>
      <c r="J84" s="149"/>
      <c r="K84" s="149"/>
      <c r="L84" s="149"/>
      <c r="M84" s="149"/>
      <c r="N84" s="149"/>
      <c r="O84" s="149"/>
      <c r="P84" s="149">
        <f t="shared" si="20"/>
        <v>0</v>
      </c>
      <c r="Q84" s="149">
        <f t="shared" si="20"/>
        <v>0</v>
      </c>
      <c r="S84" s="153">
        <f>SUMIF('Flt III'!D:D,A84,'Flt III'!E:E)/3.2808^2</f>
        <v>0</v>
      </c>
      <c r="T84" s="153">
        <f>SUMIF('Flt IIa'!A:A,A84,'Flt IIa'!E:E)/3.2808^2</f>
        <v>14.679037312016902</v>
      </c>
      <c r="U84" s="153">
        <f>SUMIF('OPC Des'!A:A,A84,'OPC Des'!F:F)/3.2808^2</f>
        <v>0</v>
      </c>
      <c r="V84" s="153">
        <f>SUMIF('LCS 5'!A:A,A84,'LCS 5'!E:E)</f>
        <v>0</v>
      </c>
      <c r="W84" s="153">
        <f>SUMIF('USCG Summary'!$A$25:$A$50,A84,'USCG Summary'!$F$25:$F$50)/3.2808^2</f>
        <v>0</v>
      </c>
      <c r="X84" s="153">
        <f>SUMIF('USCG Summary'!$A$25:$A$50,A84,'USCG Summary'!$I$25:$I$50)/3.2808^2</f>
        <v>0</v>
      </c>
      <c r="Y84" s="153">
        <f>SUMIF('USCG Summary'!$A$25:$A$50,A84,'USCG Summary'!$L$25:$L$50)/3.2808^2</f>
        <v>0</v>
      </c>
      <c r="Z84" s="153">
        <f>SUMIF('USCG Summary'!$A$25:$A$50,A84,'USCG Summary'!$O$25:$O$50)/3.2808^2</f>
        <v>0</v>
      </c>
      <c r="AA84" s="153">
        <f>SUMIF('USCG Summary'!$A$25:$A$50,A84,'USCG Summary'!$P$25:$P$50)/3.2808^2</f>
        <v>0</v>
      </c>
      <c r="AB84" s="153">
        <f>SUMIF('USCG Summary'!$A$25:$A$50,A84,'USCG Summary'!$Q$25:$Q$50)/3.2808^2</f>
        <v>0</v>
      </c>
      <c r="AC84" s="153">
        <f>SUMIF('USCG Summary'!$A$25:$A$50,A84,'USCG Summary'!$T$25:$T$50)/3.2808^2</f>
        <v>0</v>
      </c>
      <c r="AD84" s="153">
        <f>SUMIF('USCG Summary'!$A$25:$A$50,A84,'USCG Summary'!$W$25:$W$50)/3.2808^2</f>
        <v>0</v>
      </c>
      <c r="AE84" s="153">
        <f>SUMIF('USCG Summary'!$A$25:$A$50,A84,'USCG Summary'!$Z$25:$Z$50)/3.2808^2</f>
        <v>0</v>
      </c>
      <c r="AF84" s="153">
        <f>SUMIF(Comp!$A$75:$A$400,Areas!A84,Comp!$F$75:$F$400)</f>
        <v>0</v>
      </c>
      <c r="AG84" s="153">
        <f>SUMIF(Comp!$A$75:$A$400,Areas!A84,Comp!$G$75:$G$400)</f>
        <v>0</v>
      </c>
      <c r="AH84" s="153"/>
      <c r="AI84" s="153">
        <f>SUMIF('Flt III'!D:D,A84,'Flt III'!F:F)/3.2808^3</f>
        <v>0</v>
      </c>
      <c r="AK84" s="149">
        <f t="shared" si="19"/>
        <v>0</v>
      </c>
    </row>
    <row r="85" spans="1:37" s="141" customFormat="1">
      <c r="A85" s="144" t="s">
        <v>1287</v>
      </c>
      <c r="B85" s="144"/>
      <c r="C85" s="145">
        <f t="shared" si="18"/>
        <v>9.2905299443144944</v>
      </c>
      <c r="D85" s="145">
        <f t="shared" si="18"/>
        <v>0</v>
      </c>
      <c r="E85" s="145">
        <f t="shared" si="18"/>
        <v>0</v>
      </c>
      <c r="F85" s="145">
        <f t="shared" si="18"/>
        <v>0</v>
      </c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S85" s="156">
        <f>SUMIF('Flt III'!D:D,A85,'Flt III'!E:E)/3.2808^2</f>
        <v>9.2905299443144944</v>
      </c>
      <c r="T85" s="156">
        <f>SUMIF('Flt IIa'!A:A,A85,'Flt IIa'!E:E)/3.2808^2</f>
        <v>0</v>
      </c>
      <c r="U85" s="156">
        <f>SUMIF('OPC Des'!A:A,A85,'OPC Des'!F:F)/3.2808^2</f>
        <v>0</v>
      </c>
      <c r="V85" s="156">
        <f>SUMIF('LCS 5'!A:A,A85,'LCS 5'!E:E)</f>
        <v>0</v>
      </c>
      <c r="W85" s="156">
        <f>SUMIF('USCG Summary'!$A$25:$A$50,A85,'USCG Summary'!$F$25:$F$50)/3.2808^2</f>
        <v>0</v>
      </c>
      <c r="X85" s="156">
        <f>SUMIF('USCG Summary'!$A$25:$A$50,A85,'USCG Summary'!$I$25:$I$50)/3.2808^2</f>
        <v>0</v>
      </c>
      <c r="Y85" s="156">
        <f>SUMIF('USCG Summary'!$A$25:$A$50,A85,'USCG Summary'!$L$25:$L$50)/3.2808^2</f>
        <v>0</v>
      </c>
      <c r="Z85" s="156">
        <f>SUMIF('USCG Summary'!$A$25:$A$50,A85,'USCG Summary'!$O$25:$O$50)/3.2808^2</f>
        <v>0</v>
      </c>
      <c r="AA85" s="156">
        <f>SUMIF('USCG Summary'!$A$25:$A$50,A85,'USCG Summary'!$P$25:$P$50)/3.2808^2</f>
        <v>0</v>
      </c>
      <c r="AB85" s="156">
        <f>SUMIF('USCG Summary'!$A$25:$A$50,A85,'USCG Summary'!$Q$25:$Q$50)/3.2808^2</f>
        <v>0</v>
      </c>
      <c r="AC85" s="156">
        <f>SUMIF('USCG Summary'!$A$25:$A$50,A85,'USCG Summary'!$T$25:$T$50)/3.2808^2</f>
        <v>0</v>
      </c>
      <c r="AD85" s="156">
        <f>SUMIF('USCG Summary'!$A$25:$A$50,A85,'USCG Summary'!$W$25:$W$50)/3.2808^2</f>
        <v>0</v>
      </c>
      <c r="AE85" s="156">
        <f>SUMIF('USCG Summary'!$A$25:$A$50,A85,'USCG Summary'!$Z$25:$Z$50)/3.2808^2</f>
        <v>0</v>
      </c>
      <c r="AF85" s="156">
        <f>SUMIF(Comp!$A$75:$A$400,Areas!A85,Comp!$F$75:$F$400)</f>
        <v>0</v>
      </c>
      <c r="AG85" s="156">
        <f>SUMIF(Comp!$A$75:$A$400,Areas!A85,Comp!$G$75:$G$400)</f>
        <v>0</v>
      </c>
      <c r="AH85" s="156"/>
      <c r="AI85" s="156">
        <f>SUMIF('Flt III'!D:D,A85,'Flt III'!F:F)/3.2808^3</f>
        <v>27.779839902988659</v>
      </c>
      <c r="AK85" s="145">
        <f t="shared" si="19"/>
        <v>27.779839902988659</v>
      </c>
    </row>
    <row r="86" spans="1:37" s="139" customFormat="1">
      <c r="A86" s="137">
        <v>1.3</v>
      </c>
      <c r="B86" s="137" t="str">
        <f>Comp!B107</f>
        <v>AVIATION</v>
      </c>
      <c r="C86" s="150">
        <f>C87+C93+C101+C106+C109+C112+C116+C121+C129</f>
        <v>436.00457028667927</v>
      </c>
      <c r="D86" s="150">
        <f>D87+D93+D101+D106+D109+D112+D116+D121+D129</f>
        <v>365.86106920710483</v>
      </c>
      <c r="E86" s="150">
        <f>E87+E93+E101+E106+E109+E112+E116+E121+E129</f>
        <v>278.99461422776426</v>
      </c>
      <c r="F86" s="150">
        <f>F87+F93+F101+F106+F109+F112+F116+F121+F129</f>
        <v>69.02</v>
      </c>
      <c r="G86" s="150">
        <f>W86</f>
        <v>0</v>
      </c>
      <c r="H86" s="150">
        <f>X86</f>
        <v>0</v>
      </c>
      <c r="I86" s="150">
        <f>Y86</f>
        <v>0</v>
      </c>
      <c r="J86" s="150">
        <f t="shared" ref="J86:O86" si="21">Z86</f>
        <v>0</v>
      </c>
      <c r="K86" s="150"/>
      <c r="L86" s="150">
        <f t="shared" si="21"/>
        <v>0</v>
      </c>
      <c r="M86" s="150">
        <f t="shared" si="21"/>
        <v>0</v>
      </c>
      <c r="N86" s="150">
        <f t="shared" si="21"/>
        <v>239.09178811693351</v>
      </c>
      <c r="O86" s="150">
        <f t="shared" si="21"/>
        <v>44.780354331595866</v>
      </c>
      <c r="P86" s="150">
        <f t="shared" ref="P86:Q91" si="22">AF86</f>
        <v>439.1</v>
      </c>
      <c r="Q86" s="150">
        <f t="shared" si="22"/>
        <v>439.1</v>
      </c>
      <c r="S86" s="152">
        <f>SUMIF('Flt III'!D:D,A86,'Flt III'!E:E)/3.2808^2</f>
        <v>0</v>
      </c>
      <c r="T86" s="152">
        <f>SUMIF('Flt IIa'!A:A,A86,'Flt IIa'!E:E)/3.2808^2</f>
        <v>0</v>
      </c>
      <c r="U86" s="152">
        <f>SUMIF('OPC Des'!A:A,A86,'OPC Des'!F:F)/3.2808^2</f>
        <v>0</v>
      </c>
      <c r="V86" s="152">
        <f>SUMIF('LCS 5'!A:A,A86,'LCS 5'!E:E)</f>
        <v>0</v>
      </c>
      <c r="W86" s="152">
        <f>SUMIF('USCG Summary'!$A$25:$A$50,A86,'USCG Summary'!$F$25:$F$50)/3.2808^2</f>
        <v>0</v>
      </c>
      <c r="X86" s="152">
        <f>SUMIF('USCG Summary'!$A$25:$A$50,A86,'USCG Summary'!$I$25:$I$50)/3.2808^2</f>
        <v>0</v>
      </c>
      <c r="Y86" s="152">
        <f>SUMIF('USCG Summary'!$A$25:$A$50,A86,'USCG Summary'!$L$25:$L$50)/3.2808^2</f>
        <v>0</v>
      </c>
      <c r="Z86" s="152">
        <f>SUMIF('USCG Summary'!$A$25:$A$50,A86,'USCG Summary'!$O$25:$O$50)/3.2808^2</f>
        <v>0</v>
      </c>
      <c r="AA86" s="152">
        <f>SUMIF('USCG Summary'!$A$25:$A$50,A86,'USCG Summary'!$P$25:$P$50)/3.2808^2</f>
        <v>0</v>
      </c>
      <c r="AB86" s="152">
        <f>SUMIF('USCG Summary'!$A$25:$A$50,A86,'USCG Summary'!$Q$25:$Q$50)/3.2808^2</f>
        <v>0</v>
      </c>
      <c r="AC86" s="152">
        <f>SUMIF('USCG Summary'!$A$25:$A$50,A86,'USCG Summary'!$T$25:$T$50)/3.2808^2</f>
        <v>0</v>
      </c>
      <c r="AD86" s="152">
        <f>SUMIF('USCG Summary'!$A$25:$A$50,A86,'USCG Summary'!$W$25:$W$50)/3.2808^2</f>
        <v>239.09178811693351</v>
      </c>
      <c r="AE86" s="152">
        <f>SUMIF('USCG Summary'!$A$25:$A$50,A86,'USCG Summary'!$Z$25:$Z$50)/3.2808^2</f>
        <v>44.780354331595866</v>
      </c>
      <c r="AF86" s="152">
        <f>SUMIF(Comp!$A$75:$A$400,Areas!A86,Comp!$F$75:$F$400)</f>
        <v>439.1</v>
      </c>
      <c r="AG86" s="152">
        <f>SUMIF(Comp!$A$75:$A$400,Areas!A86,Comp!$G$75:$G$400)</f>
        <v>439.1</v>
      </c>
      <c r="AH86" s="152"/>
      <c r="AI86" s="152">
        <f>SUMIF('Flt III'!D:D,A86,'Flt III'!F:F)/3.2808^3</f>
        <v>0</v>
      </c>
      <c r="AK86" s="150">
        <f>AK87+AK93+AK101+AK106+AK109+AK112+AK116+AK121+AK129</f>
        <v>1846.6089297389299</v>
      </c>
    </row>
    <row r="87" spans="1:37" s="134" customFormat="1">
      <c r="A87" s="140">
        <v>1.31</v>
      </c>
      <c r="B87" s="140" t="str">
        <f>Comp!B108</f>
        <v>AVIATION LAUNCH+RECOVERY</v>
      </c>
      <c r="C87" s="149">
        <f>IF(S87=0,SUM(C88),S87)</f>
        <v>0</v>
      </c>
      <c r="D87" s="149">
        <f>IF(T87=0,SUM(D88),T87)</f>
        <v>0</v>
      </c>
      <c r="E87" s="149">
        <f>IF(U87=0,SUM(E88),U87)</f>
        <v>0</v>
      </c>
      <c r="F87" s="149">
        <f>IF(V87=0,SUM(F88),V87)</f>
        <v>0</v>
      </c>
      <c r="G87" s="149"/>
      <c r="H87" s="149"/>
      <c r="I87" s="149"/>
      <c r="J87" s="149"/>
      <c r="K87" s="149"/>
      <c r="L87" s="149"/>
      <c r="M87" s="149"/>
      <c r="N87" s="149"/>
      <c r="O87" s="149"/>
      <c r="P87" s="149">
        <f t="shared" si="22"/>
        <v>0</v>
      </c>
      <c r="Q87" s="149">
        <f t="shared" si="22"/>
        <v>0</v>
      </c>
      <c r="S87" s="153">
        <f>SUMIF('Flt III'!D:D,A87,'Flt III'!E:E)/3.2808^2</f>
        <v>0</v>
      </c>
      <c r="T87" s="153">
        <f>SUMIF('Flt IIa'!A:A,A87,'Flt IIa'!E:E)/3.2808^2</f>
        <v>0</v>
      </c>
      <c r="U87" s="153">
        <f>SUMIF('OPC Des'!A:A,A87,'OPC Des'!F:F)/3.2808^2</f>
        <v>0</v>
      </c>
      <c r="V87" s="153">
        <f>SUMIF('LCS 5'!A:A,A87,'LCS 5'!E:E)</f>
        <v>0</v>
      </c>
      <c r="W87" s="153">
        <f>SUMIF('USCG Summary'!$A$25:$A$50,A87,'USCG Summary'!$F$25:$F$50)/3.2808^2</f>
        <v>0</v>
      </c>
      <c r="X87" s="153">
        <f>SUMIF('USCG Summary'!$A$25:$A$50,A87,'USCG Summary'!$I$25:$I$50)/3.2808^2</f>
        <v>0</v>
      </c>
      <c r="Y87" s="153">
        <f>SUMIF('USCG Summary'!$A$25:$A$50,A87,'USCG Summary'!$L$25:$L$50)/3.2808^2</f>
        <v>0</v>
      </c>
      <c r="Z87" s="153">
        <f>SUMIF('USCG Summary'!$A$25:$A$50,A87,'USCG Summary'!$O$25:$O$50)/3.2808^2</f>
        <v>0</v>
      </c>
      <c r="AA87" s="153">
        <f>SUMIF('USCG Summary'!$A$25:$A$50,A87,'USCG Summary'!$P$25:$P$50)/3.2808^2</f>
        <v>0</v>
      </c>
      <c r="AB87" s="153">
        <f>SUMIF('USCG Summary'!$A$25:$A$50,A87,'USCG Summary'!$Q$25:$Q$50)/3.2808^2</f>
        <v>0</v>
      </c>
      <c r="AC87" s="153">
        <f>SUMIF('USCG Summary'!$A$25:$A$50,A87,'USCG Summary'!$T$25:$T$50)/3.2808^2</f>
        <v>0</v>
      </c>
      <c r="AD87" s="153">
        <f>SUMIF('USCG Summary'!$A$25:$A$50,A87,'USCG Summary'!$W$25:$W$50)/3.2808^2</f>
        <v>0</v>
      </c>
      <c r="AE87" s="153">
        <f>SUMIF('USCG Summary'!$A$25:$A$50,A87,'USCG Summary'!$Z$25:$Z$50)/3.2808^2</f>
        <v>0</v>
      </c>
      <c r="AF87" s="153">
        <f>SUMIF(Comp!$A$75:$A$400,Areas!A87,Comp!$F$75:$F$400)</f>
        <v>0</v>
      </c>
      <c r="AG87" s="153">
        <f>SUMIF(Comp!$A$75:$A$400,Areas!A87,Comp!$G$75:$G$400)</f>
        <v>0</v>
      </c>
      <c r="AH87" s="153"/>
      <c r="AI87" s="153">
        <f>SUMIF('Flt III'!D:D,A87,'Flt III'!F:F)/3.2808^3</f>
        <v>0</v>
      </c>
      <c r="AK87" s="149">
        <f>IF(AI87=0,SUM(AK88),AI87)</f>
        <v>0</v>
      </c>
    </row>
    <row r="88" spans="1:37" s="132" customFormat="1">
      <c r="A88" s="142">
        <v>1.3109999999999999</v>
      </c>
      <c r="B88" s="142" t="str">
        <f>Comp!B109</f>
        <v>LAUNCHING+RECOVERY AREAS</v>
      </c>
      <c r="C88" s="143">
        <f>SUM(C89)</f>
        <v>0</v>
      </c>
      <c r="D88" s="143">
        <f>SUM(D89)</f>
        <v>0</v>
      </c>
      <c r="E88" s="143">
        <f>SUM(E89)</f>
        <v>0</v>
      </c>
      <c r="F88" s="143">
        <f>SUM(F89)</f>
        <v>0</v>
      </c>
      <c r="G88" s="143"/>
      <c r="H88" s="143"/>
      <c r="I88" s="143"/>
      <c r="J88" s="143"/>
      <c r="K88" s="143"/>
      <c r="L88" s="143"/>
      <c r="M88" s="143"/>
      <c r="N88" s="143"/>
      <c r="O88" s="143"/>
      <c r="P88" s="143">
        <f t="shared" si="22"/>
        <v>0</v>
      </c>
      <c r="Q88" s="143">
        <f t="shared" si="22"/>
        <v>0</v>
      </c>
      <c r="S88" s="154">
        <f>SUMIF('Flt III'!D:D,A88,'Flt III'!E:E)/3.2808^2</f>
        <v>0</v>
      </c>
      <c r="T88" s="154">
        <f>SUMIF('Flt IIa'!A:A,A88,'Flt IIa'!E:E)/3.2808^2</f>
        <v>0</v>
      </c>
      <c r="U88" s="154">
        <f>SUMIF('OPC Des'!A:A,A88,'OPC Des'!F:F)/3.2808^2</f>
        <v>0</v>
      </c>
      <c r="V88" s="154">
        <f>SUMIF('LCS 5'!A:A,A88,'LCS 5'!E:E)</f>
        <v>0</v>
      </c>
      <c r="W88" s="154">
        <f>SUMIF('USCG Summary'!$A$25:$A$50,A88,'USCG Summary'!$F$25:$F$50)/3.2808^2</f>
        <v>0</v>
      </c>
      <c r="X88" s="154">
        <f>SUMIF('USCG Summary'!$A$25:$A$50,A88,'USCG Summary'!$I$25:$I$50)/3.2808^2</f>
        <v>0</v>
      </c>
      <c r="Y88" s="154">
        <f>SUMIF('USCG Summary'!$A$25:$A$50,A88,'USCG Summary'!$L$25:$L$50)/3.2808^2</f>
        <v>0</v>
      </c>
      <c r="Z88" s="154">
        <f>SUMIF('USCG Summary'!$A$25:$A$50,A88,'USCG Summary'!$O$25:$O$50)/3.2808^2</f>
        <v>0</v>
      </c>
      <c r="AA88" s="154">
        <f>SUMIF('USCG Summary'!$A$25:$A$50,A88,'USCG Summary'!$P$25:$P$50)/3.2808^2</f>
        <v>0</v>
      </c>
      <c r="AB88" s="154">
        <f>SUMIF('USCG Summary'!$A$25:$A$50,A88,'USCG Summary'!$Q$25:$Q$50)/3.2808^2</f>
        <v>0</v>
      </c>
      <c r="AC88" s="154">
        <f>SUMIF('USCG Summary'!$A$25:$A$50,A88,'USCG Summary'!$T$25:$T$50)/3.2808^2</f>
        <v>0</v>
      </c>
      <c r="AD88" s="154">
        <f>SUMIF('USCG Summary'!$A$25:$A$50,A88,'USCG Summary'!$W$25:$W$50)/3.2808^2</f>
        <v>0</v>
      </c>
      <c r="AE88" s="154">
        <f>SUMIF('USCG Summary'!$A$25:$A$50,A88,'USCG Summary'!$Z$25:$Z$50)/3.2808^2</f>
        <v>0</v>
      </c>
      <c r="AF88" s="154">
        <f>SUMIF(Comp!$A$75:$A$400,Areas!A88,Comp!$F$75:$F$400)</f>
        <v>0</v>
      </c>
      <c r="AG88" s="154">
        <f>SUMIF(Comp!$A$75:$A$400,Areas!A88,Comp!$G$75:$G$400)</f>
        <v>0</v>
      </c>
      <c r="AH88" s="154"/>
      <c r="AI88" s="154">
        <f>SUMIF('Flt III'!D:D,A88,'Flt III'!F:F)/3.2808^3</f>
        <v>0</v>
      </c>
      <c r="AK88" s="143">
        <f>SUM(AK89)</f>
        <v>0</v>
      </c>
    </row>
    <row r="89" spans="1:37" s="141" customFormat="1">
      <c r="A89" s="144">
        <v>1.3111999999999999</v>
      </c>
      <c r="B89" s="144" t="str">
        <f>Comp!B110</f>
        <v>HELICOPTER LANDING AREA</v>
      </c>
      <c r="C89" s="145">
        <f>S89</f>
        <v>0</v>
      </c>
      <c r="D89" s="145">
        <f>T89</f>
        <v>0</v>
      </c>
      <c r="E89" s="145">
        <f>U89</f>
        <v>0</v>
      </c>
      <c r="F89" s="145">
        <f>V89</f>
        <v>0</v>
      </c>
      <c r="G89" s="145"/>
      <c r="H89" s="145"/>
      <c r="I89" s="145"/>
      <c r="J89" s="145"/>
      <c r="K89" s="145"/>
      <c r="L89" s="145"/>
      <c r="M89" s="145"/>
      <c r="N89" s="145"/>
      <c r="O89" s="145"/>
      <c r="P89" s="145">
        <f t="shared" si="22"/>
        <v>0</v>
      </c>
      <c r="Q89" s="145">
        <f t="shared" si="22"/>
        <v>0</v>
      </c>
      <c r="S89" s="156">
        <f>SUMIF('Flt III'!D:D,A89,'Flt III'!E:E)/3.2808^2</f>
        <v>0</v>
      </c>
      <c r="T89" s="156">
        <f>SUMIF('Flt IIa'!A:A,A89,'Flt IIa'!E:E)/3.2808^2</f>
        <v>0</v>
      </c>
      <c r="U89" s="156">
        <f>SUMIF('OPC Des'!A:A,A89,'OPC Des'!F:F)/3.2808^2</f>
        <v>0</v>
      </c>
      <c r="V89" s="156">
        <f>SUMIF('LCS 5'!A:A,A89,'LCS 5'!E:E)</f>
        <v>0</v>
      </c>
      <c r="W89" s="156">
        <f>SUMIF('USCG Summary'!$A$25:$A$50,A89,'USCG Summary'!$F$25:$F$50)/3.2808^2</f>
        <v>0</v>
      </c>
      <c r="X89" s="156">
        <f>SUMIF('USCG Summary'!$A$25:$A$50,A89,'USCG Summary'!$I$25:$I$50)/3.2808^2</f>
        <v>0</v>
      </c>
      <c r="Y89" s="156">
        <f>SUMIF('USCG Summary'!$A$25:$A$50,A89,'USCG Summary'!$L$25:$L$50)/3.2808^2</f>
        <v>0</v>
      </c>
      <c r="Z89" s="156">
        <f>SUMIF('USCG Summary'!$A$25:$A$50,A89,'USCG Summary'!$O$25:$O$50)/3.2808^2</f>
        <v>0</v>
      </c>
      <c r="AA89" s="156">
        <f>SUMIF('USCG Summary'!$A$25:$A$50,A89,'USCG Summary'!$P$25:$P$50)/3.2808^2</f>
        <v>0</v>
      </c>
      <c r="AB89" s="156">
        <f>SUMIF('USCG Summary'!$A$25:$A$50,A89,'USCG Summary'!$Q$25:$Q$50)/3.2808^2</f>
        <v>0</v>
      </c>
      <c r="AC89" s="156">
        <f>SUMIF('USCG Summary'!$A$25:$A$50,A89,'USCG Summary'!$T$25:$T$50)/3.2808^2</f>
        <v>0</v>
      </c>
      <c r="AD89" s="156">
        <f>SUMIF('USCG Summary'!$A$25:$A$50,A89,'USCG Summary'!$W$25:$W$50)/3.2808^2</f>
        <v>0</v>
      </c>
      <c r="AE89" s="156">
        <f>SUMIF('USCG Summary'!$A$25:$A$50,A89,'USCG Summary'!$Z$25:$Z$50)/3.2808^2</f>
        <v>0</v>
      </c>
      <c r="AF89" s="156">
        <f>SUMIF(Comp!$A$75:$A$400,Areas!A89,Comp!$F$75:$F$400)</f>
        <v>0</v>
      </c>
      <c r="AG89" s="156">
        <f>SUMIF(Comp!$A$75:$A$400,Areas!A89,Comp!$G$75:$G$400)</f>
        <v>0</v>
      </c>
      <c r="AH89" s="156"/>
      <c r="AI89" s="156">
        <f>SUMIF('Flt III'!D:D,A89,'Flt III'!F:F)/3.2808^3</f>
        <v>0</v>
      </c>
      <c r="AK89" s="145">
        <f>AI89</f>
        <v>0</v>
      </c>
    </row>
    <row r="90" spans="1:37" s="132" customFormat="1">
      <c r="A90" s="142">
        <v>1.3120000000000001</v>
      </c>
      <c r="B90" s="142" t="str">
        <f>Comp!B111</f>
        <v>LAUNCHING+RECOVERY EQUIP</v>
      </c>
      <c r="C90" s="143">
        <f>SUM(C91)</f>
        <v>42.736437743846679</v>
      </c>
      <c r="D90" s="143">
        <f>T90</f>
        <v>44.408733133823283</v>
      </c>
      <c r="E90" s="143">
        <f>U90</f>
        <v>0</v>
      </c>
      <c r="F90" s="143">
        <f>V90</f>
        <v>0</v>
      </c>
      <c r="G90" s="143"/>
      <c r="H90" s="143"/>
      <c r="I90" s="143"/>
      <c r="J90" s="143"/>
      <c r="K90" s="143"/>
      <c r="L90" s="143"/>
      <c r="M90" s="143"/>
      <c r="N90" s="143"/>
      <c r="O90" s="143"/>
      <c r="P90" s="143">
        <f t="shared" si="22"/>
        <v>0</v>
      </c>
      <c r="Q90" s="143">
        <f t="shared" si="22"/>
        <v>0</v>
      </c>
      <c r="S90" s="154">
        <f>SUMIF('Flt III'!D:D,A90,'Flt III'!E:E)/3.2808^2</f>
        <v>0</v>
      </c>
      <c r="T90" s="154">
        <f>SUMIF('Flt IIa'!A:A,A90,'Flt IIa'!E:E)/3.2808^2</f>
        <v>44.408733133823283</v>
      </c>
      <c r="U90" s="154">
        <f>SUMIF('OPC Des'!A:A,A90,'OPC Des'!F:F)/3.2808^2</f>
        <v>0</v>
      </c>
      <c r="V90" s="154">
        <f>SUMIF('LCS 5'!A:A,A90,'LCS 5'!E:E)</f>
        <v>0</v>
      </c>
      <c r="W90" s="154">
        <f>SUMIF('USCG Summary'!$A$25:$A$50,A90,'USCG Summary'!$F$25:$F$50)/3.2808^2</f>
        <v>0</v>
      </c>
      <c r="X90" s="154">
        <f>SUMIF('USCG Summary'!$A$25:$A$50,A90,'USCG Summary'!$I$25:$I$50)/3.2808^2</f>
        <v>0</v>
      </c>
      <c r="Y90" s="154">
        <f>SUMIF('USCG Summary'!$A$25:$A$50,A90,'USCG Summary'!$L$25:$L$50)/3.2808^2</f>
        <v>0</v>
      </c>
      <c r="Z90" s="154">
        <f>SUMIF('USCG Summary'!$A$25:$A$50,A90,'USCG Summary'!$O$25:$O$50)/3.2808^2</f>
        <v>0</v>
      </c>
      <c r="AA90" s="154">
        <f>SUMIF('USCG Summary'!$A$25:$A$50,A90,'USCG Summary'!$P$25:$P$50)/3.2808^2</f>
        <v>0</v>
      </c>
      <c r="AB90" s="154">
        <f>SUMIF('USCG Summary'!$A$25:$A$50,A90,'USCG Summary'!$Q$25:$Q$50)/3.2808^2</f>
        <v>0</v>
      </c>
      <c r="AC90" s="154">
        <f>SUMIF('USCG Summary'!$A$25:$A$50,A90,'USCG Summary'!$T$25:$T$50)/3.2808^2</f>
        <v>0</v>
      </c>
      <c r="AD90" s="154">
        <f>SUMIF('USCG Summary'!$A$25:$A$50,A90,'USCG Summary'!$W$25:$W$50)/3.2808^2</f>
        <v>0</v>
      </c>
      <c r="AE90" s="154">
        <f>SUMIF('USCG Summary'!$A$25:$A$50,A90,'USCG Summary'!$Z$25:$Z$50)/3.2808^2</f>
        <v>0</v>
      </c>
      <c r="AF90" s="154">
        <f>SUMIF(Comp!$A$75:$A$400,Areas!A90,Comp!$F$75:$F$400)</f>
        <v>0</v>
      </c>
      <c r="AG90" s="154">
        <f>SUMIF(Comp!$A$75:$A$400,Areas!A90,Comp!$G$75:$G$400)</f>
        <v>0</v>
      </c>
      <c r="AH90" s="154"/>
      <c r="AI90" s="154">
        <f>SUMIF('Flt III'!D:D,A90,'Flt III'!F:F)/3.2808^3</f>
        <v>0</v>
      </c>
      <c r="AK90" s="143">
        <f>SUM(AK91)</f>
        <v>120.26603472782143</v>
      </c>
    </row>
    <row r="91" spans="1:37" s="141" customFormat="1">
      <c r="A91" s="144">
        <v>1.3123</v>
      </c>
      <c r="B91" s="144" t="str">
        <f>Comp!B112</f>
        <v>HELICOPTER RECOVERY</v>
      </c>
      <c r="C91" s="145">
        <f>SUM(C92)+S91</f>
        <v>42.736437743846679</v>
      </c>
      <c r="D91" s="145">
        <f>SUM(D92)+T91</f>
        <v>0</v>
      </c>
      <c r="E91" s="145">
        <f>SUM(E92)+U91</f>
        <v>0</v>
      </c>
      <c r="F91" s="145">
        <f>SUM(F92)+V91</f>
        <v>0</v>
      </c>
      <c r="G91" s="145"/>
      <c r="H91" s="145"/>
      <c r="I91" s="145"/>
      <c r="J91" s="145"/>
      <c r="K91" s="145"/>
      <c r="L91" s="145"/>
      <c r="M91" s="145"/>
      <c r="N91" s="145"/>
      <c r="O91" s="145"/>
      <c r="P91" s="145">
        <f t="shared" si="22"/>
        <v>0</v>
      </c>
      <c r="Q91" s="145">
        <f t="shared" si="22"/>
        <v>0</v>
      </c>
      <c r="S91" s="156">
        <f>SUMIF('Flt III'!D:D,A91,'Flt III'!E:E)/3.2808^2</f>
        <v>5.8530338649181317</v>
      </c>
      <c r="T91" s="156">
        <f>SUMIF('Flt IIa'!A:A,A91,'Flt IIa'!E:E)/3.2808^2</f>
        <v>0</v>
      </c>
      <c r="U91" s="156">
        <f>SUMIF('OPC Des'!A:A,A91,'OPC Des'!F:F)/3.2808^2</f>
        <v>0</v>
      </c>
      <c r="V91" s="156">
        <f>SUMIF('LCS 5'!A:A,A91,'LCS 5'!E:E)</f>
        <v>0</v>
      </c>
      <c r="W91" s="156">
        <f>SUMIF('USCG Summary'!$A$25:$A$50,A91,'USCG Summary'!$F$25:$F$50)/3.2808^2</f>
        <v>0</v>
      </c>
      <c r="X91" s="156">
        <f>SUMIF('USCG Summary'!$A$25:$A$50,A91,'USCG Summary'!$I$25:$I$50)/3.2808^2</f>
        <v>0</v>
      </c>
      <c r="Y91" s="156">
        <f>SUMIF('USCG Summary'!$A$25:$A$50,A91,'USCG Summary'!$L$25:$L$50)/3.2808^2</f>
        <v>0</v>
      </c>
      <c r="Z91" s="156">
        <f>SUMIF('USCG Summary'!$A$25:$A$50,A91,'USCG Summary'!$O$25:$O$50)/3.2808^2</f>
        <v>0</v>
      </c>
      <c r="AA91" s="156">
        <f>SUMIF('USCG Summary'!$A$25:$A$50,A91,'USCG Summary'!$P$25:$P$50)/3.2808^2</f>
        <v>0</v>
      </c>
      <c r="AB91" s="156">
        <f>SUMIF('USCG Summary'!$A$25:$A$50,A91,'USCG Summary'!$Q$25:$Q$50)/3.2808^2</f>
        <v>0</v>
      </c>
      <c r="AC91" s="156">
        <f>SUMIF('USCG Summary'!$A$25:$A$50,A91,'USCG Summary'!$T$25:$T$50)/3.2808^2</f>
        <v>0</v>
      </c>
      <c r="AD91" s="156">
        <f>SUMIF('USCG Summary'!$A$25:$A$50,A91,'USCG Summary'!$W$25:$W$50)/3.2808^2</f>
        <v>0</v>
      </c>
      <c r="AE91" s="156">
        <f>SUMIF('USCG Summary'!$A$25:$A$50,A91,'USCG Summary'!$Z$25:$Z$50)/3.2808^2</f>
        <v>0</v>
      </c>
      <c r="AF91" s="156">
        <f>SUMIF(Comp!$A$75:$A$400,Areas!A91,Comp!$F$75:$F$400)</f>
        <v>0</v>
      </c>
      <c r="AG91" s="156">
        <f>SUMIF(Comp!$A$75:$A$400,Areas!A91,Comp!$G$75:$G$400)</f>
        <v>0</v>
      </c>
      <c r="AH91" s="156"/>
      <c r="AI91" s="156">
        <f>SUMIF('Flt III'!D:D,A91,'Flt III'!F:F)/3.2808^3</f>
        <v>19.879151490212067</v>
      </c>
      <c r="AK91" s="145">
        <f>SUM(AK92)+AI91</f>
        <v>120.26603472782143</v>
      </c>
    </row>
    <row r="92" spans="1:37" s="148" customFormat="1">
      <c r="A92" s="146" t="s">
        <v>1280</v>
      </c>
      <c r="B92" s="146"/>
      <c r="C92" s="147">
        <f>S92</f>
        <v>36.883403878928547</v>
      </c>
      <c r="D92" s="147">
        <f>T92</f>
        <v>0</v>
      </c>
      <c r="E92" s="147">
        <f>U92</f>
        <v>0</v>
      </c>
      <c r="F92" s="147">
        <f>V92</f>
        <v>0</v>
      </c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S92" s="155">
        <f>SUMIF('Flt III'!D:D,A92,'Flt III'!E:E)/3.2808^2</f>
        <v>36.883403878928547</v>
      </c>
      <c r="T92" s="155">
        <f>SUMIF('Flt IIa'!A:A,A92,'Flt IIa'!E:E)/3.2808^2</f>
        <v>0</v>
      </c>
      <c r="U92" s="155">
        <f>SUMIF('OPC Des'!A:A,A92,'OPC Des'!F:F)/3.2808^2</f>
        <v>0</v>
      </c>
      <c r="V92" s="155">
        <f>SUMIF('LCS 5'!A:A,A92,'LCS 5'!E:E)</f>
        <v>0</v>
      </c>
      <c r="W92" s="155">
        <f>SUMIF('USCG Summary'!$A$25:$A$50,A92,'USCG Summary'!$F$25:$F$50)/3.2808^2</f>
        <v>0</v>
      </c>
      <c r="X92" s="155">
        <f>SUMIF('USCG Summary'!$A$25:$A$50,A92,'USCG Summary'!$I$25:$I$50)/3.2808^2</f>
        <v>0</v>
      </c>
      <c r="Y92" s="155">
        <f>SUMIF('USCG Summary'!$A$25:$A$50,A92,'USCG Summary'!$L$25:$L$50)/3.2808^2</f>
        <v>0</v>
      </c>
      <c r="Z92" s="155">
        <f>SUMIF('USCG Summary'!$A$25:$A$50,A92,'USCG Summary'!$O$25:$O$50)/3.2808^2</f>
        <v>0</v>
      </c>
      <c r="AA92" s="155">
        <f>SUMIF('USCG Summary'!$A$25:$A$50,A92,'USCG Summary'!$P$25:$P$50)/3.2808^2</f>
        <v>0</v>
      </c>
      <c r="AB92" s="155">
        <f>SUMIF('USCG Summary'!$A$25:$A$50,A92,'USCG Summary'!$Q$25:$Q$50)/3.2808^2</f>
        <v>0</v>
      </c>
      <c r="AC92" s="155">
        <f>SUMIF('USCG Summary'!$A$25:$A$50,A92,'USCG Summary'!$T$25:$T$50)/3.2808^2</f>
        <v>0</v>
      </c>
      <c r="AD92" s="155">
        <f>SUMIF('USCG Summary'!$A$25:$A$50,A92,'USCG Summary'!$W$25:$W$50)/3.2808^2</f>
        <v>0</v>
      </c>
      <c r="AE92" s="155">
        <f>SUMIF('USCG Summary'!$A$25:$A$50,A92,'USCG Summary'!$Z$25:$Z$50)/3.2808^2</f>
        <v>0</v>
      </c>
      <c r="AF92" s="155">
        <f>SUMIF(Comp!$A$75:$A$400,Areas!A92,Comp!$F$75:$F$400)</f>
        <v>0</v>
      </c>
      <c r="AG92" s="155">
        <f>SUMIF(Comp!$A$75:$A$400,Areas!A92,Comp!$G$75:$G$400)</f>
        <v>0</v>
      </c>
      <c r="AH92" s="155"/>
      <c r="AI92" s="155">
        <f>SUMIF('Flt III'!D:D,A92,'Flt III'!F:F)/3.2808^3</f>
        <v>100.38688323760937</v>
      </c>
      <c r="AK92" s="147">
        <f>AI92</f>
        <v>100.38688323760937</v>
      </c>
    </row>
    <row r="93" spans="1:37" s="134" customFormat="1">
      <c r="A93" s="140">
        <v>1.32</v>
      </c>
      <c r="B93" s="140" t="str">
        <f>Comp!B113</f>
        <v>AVIATION CONTROL</v>
      </c>
      <c r="C93" s="149">
        <f>IF(S93=0,SUM(C94),S93)</f>
        <v>9.1047193454282045</v>
      </c>
      <c r="D93" s="149">
        <f>IF(T93=0,SUM(D94),T93)</f>
        <v>7.4324239554515961</v>
      </c>
      <c r="E93" s="149">
        <f>IF(U93=0,SUM(E94),U93)</f>
        <v>0</v>
      </c>
      <c r="F93" s="149">
        <f>IF(V93=0,SUM(F94),V93)</f>
        <v>0</v>
      </c>
      <c r="G93" s="149"/>
      <c r="H93" s="149"/>
      <c r="I93" s="149"/>
      <c r="J93" s="149"/>
      <c r="K93" s="149"/>
      <c r="L93" s="149"/>
      <c r="M93" s="149"/>
      <c r="N93" s="149"/>
      <c r="O93" s="149"/>
      <c r="P93" s="149">
        <f>AF93</f>
        <v>9.3000000000000007</v>
      </c>
      <c r="Q93" s="149">
        <f>AG93</f>
        <v>9.3000000000000007</v>
      </c>
      <c r="S93" s="153">
        <f>SUMIF('Flt III'!D:D,A93,'Flt III'!E:E)/3.2808^2</f>
        <v>0</v>
      </c>
      <c r="T93" s="153">
        <f>SUMIF('Flt IIa'!A:A,A93,'Flt IIa'!E:E)/3.2808^2</f>
        <v>0</v>
      </c>
      <c r="U93" s="153">
        <f>SUMIF('OPC Des'!A:A,A93,'OPC Des'!F:F)/3.2808^2</f>
        <v>0</v>
      </c>
      <c r="V93" s="153">
        <f>SUMIF('LCS 5'!A:A,A93,'LCS 5'!E:E)</f>
        <v>0</v>
      </c>
      <c r="W93" s="153">
        <f>SUMIF('USCG Summary'!$A$25:$A$50,A93,'USCG Summary'!$F$25:$F$50)/3.2808^2</f>
        <v>0</v>
      </c>
      <c r="X93" s="153">
        <f>SUMIF('USCG Summary'!$A$25:$A$50,A93,'USCG Summary'!$I$25:$I$50)/3.2808^2</f>
        <v>0</v>
      </c>
      <c r="Y93" s="153">
        <f>SUMIF('USCG Summary'!$A$25:$A$50,A93,'USCG Summary'!$L$25:$L$50)/3.2808^2</f>
        <v>0</v>
      </c>
      <c r="Z93" s="153">
        <f>SUMIF('USCG Summary'!$A$25:$A$50,A93,'USCG Summary'!$O$25:$O$50)/3.2808^2</f>
        <v>0</v>
      </c>
      <c r="AA93" s="153">
        <f>SUMIF('USCG Summary'!$A$25:$A$50,A93,'USCG Summary'!$P$25:$P$50)/3.2808^2</f>
        <v>0</v>
      </c>
      <c r="AB93" s="153">
        <f>SUMIF('USCG Summary'!$A$25:$A$50,A93,'USCG Summary'!$Q$25:$Q$50)/3.2808^2</f>
        <v>0</v>
      </c>
      <c r="AC93" s="153">
        <f>SUMIF('USCG Summary'!$A$25:$A$50,A93,'USCG Summary'!$T$25:$T$50)/3.2808^2</f>
        <v>0</v>
      </c>
      <c r="AD93" s="153">
        <f>SUMIF('USCG Summary'!$A$25:$A$50,A93,'USCG Summary'!$W$25:$W$50)/3.2808^2</f>
        <v>0</v>
      </c>
      <c r="AE93" s="153">
        <f>SUMIF('USCG Summary'!$A$25:$A$50,A93,'USCG Summary'!$Z$25:$Z$50)/3.2808^2</f>
        <v>0</v>
      </c>
      <c r="AF93" s="153">
        <f>SUMIF(Comp!$A$75:$A$400,Areas!A93,Comp!$F$75:$F$400)</f>
        <v>9.3000000000000007</v>
      </c>
      <c r="AG93" s="153">
        <f>SUMIF(Comp!$A$75:$A$400,Areas!A93,Comp!$G$75:$G$400)</f>
        <v>9.3000000000000007</v>
      </c>
      <c r="AH93" s="153"/>
      <c r="AI93" s="153">
        <f>SUMIF('Flt III'!D:D,A93,'Flt III'!F:F)/3.2808^3</f>
        <v>0</v>
      </c>
      <c r="AK93" s="149">
        <f>IF(AI93=0,SUM(AK94),AI93)</f>
        <v>23.673747358714085</v>
      </c>
    </row>
    <row r="94" spans="1:37" s="132" customFormat="1">
      <c r="A94" s="142">
        <v>1.321</v>
      </c>
      <c r="B94" s="142" t="str">
        <f>Comp!B114</f>
        <v>FLIGHT CONTROL</v>
      </c>
      <c r="C94" s="143">
        <f>SUM(C95)</f>
        <v>9.1047193454282045</v>
      </c>
      <c r="D94" s="143">
        <f t="shared" ref="D94:F95" si="23">T94</f>
        <v>7.4324239554515961</v>
      </c>
      <c r="E94" s="143">
        <f t="shared" si="23"/>
        <v>0</v>
      </c>
      <c r="F94" s="143">
        <f t="shared" si="23"/>
        <v>0</v>
      </c>
      <c r="G94" s="143"/>
      <c r="H94" s="143"/>
      <c r="I94" s="143"/>
      <c r="J94" s="143"/>
      <c r="K94" s="143"/>
      <c r="L94" s="143"/>
      <c r="M94" s="143"/>
      <c r="N94" s="143"/>
      <c r="O94" s="143"/>
      <c r="P94" s="143">
        <f>AF94</f>
        <v>9.3000000000000007</v>
      </c>
      <c r="Q94" s="143">
        <f>AG94</f>
        <v>9.3000000000000007</v>
      </c>
      <c r="S94" s="154">
        <f>SUMIF('Flt III'!D:D,A94,'Flt III'!E:E)/3.2808^2</f>
        <v>0</v>
      </c>
      <c r="T94" s="154">
        <f>SUMIF('Flt IIa'!A:A,A94,'Flt IIa'!E:E)/3.2808^2</f>
        <v>7.4324239554515961</v>
      </c>
      <c r="U94" s="154">
        <f>SUMIF('OPC Des'!A:A,A94,'OPC Des'!F:F)/3.2808^2</f>
        <v>0</v>
      </c>
      <c r="V94" s="154">
        <f>SUMIF('LCS 5'!A:A,A94,'LCS 5'!E:E)</f>
        <v>0</v>
      </c>
      <c r="W94" s="154">
        <f>SUMIF('USCG Summary'!$A$25:$A$50,A94,'USCG Summary'!$F$25:$F$50)/3.2808^2</f>
        <v>0</v>
      </c>
      <c r="X94" s="154">
        <f>SUMIF('USCG Summary'!$A$25:$A$50,A94,'USCG Summary'!$I$25:$I$50)/3.2808^2</f>
        <v>0</v>
      </c>
      <c r="Y94" s="154">
        <f>SUMIF('USCG Summary'!$A$25:$A$50,A94,'USCG Summary'!$L$25:$L$50)/3.2808^2</f>
        <v>0</v>
      </c>
      <c r="Z94" s="154">
        <f>SUMIF('USCG Summary'!$A$25:$A$50,A94,'USCG Summary'!$O$25:$O$50)/3.2808^2</f>
        <v>0</v>
      </c>
      <c r="AA94" s="154">
        <f>SUMIF('USCG Summary'!$A$25:$A$50,A94,'USCG Summary'!$P$25:$P$50)/3.2808^2</f>
        <v>0</v>
      </c>
      <c r="AB94" s="154">
        <f>SUMIF('USCG Summary'!$A$25:$A$50,A94,'USCG Summary'!$Q$25:$Q$50)/3.2808^2</f>
        <v>0</v>
      </c>
      <c r="AC94" s="154">
        <f>SUMIF('USCG Summary'!$A$25:$A$50,A94,'USCG Summary'!$T$25:$T$50)/3.2808^2</f>
        <v>0</v>
      </c>
      <c r="AD94" s="154">
        <f>SUMIF('USCG Summary'!$A$25:$A$50,A94,'USCG Summary'!$W$25:$W$50)/3.2808^2</f>
        <v>0</v>
      </c>
      <c r="AE94" s="154">
        <f>SUMIF('USCG Summary'!$A$25:$A$50,A94,'USCG Summary'!$Z$25:$Z$50)/3.2808^2</f>
        <v>0</v>
      </c>
      <c r="AF94" s="154">
        <f>SUMIF(Comp!$A$75:$A$400,Areas!A94,Comp!$F$75:$F$400)</f>
        <v>9.3000000000000007</v>
      </c>
      <c r="AG94" s="154">
        <f>SUMIF(Comp!$A$75:$A$400,Areas!A94,Comp!$G$75:$G$400)</f>
        <v>9.3000000000000007</v>
      </c>
      <c r="AH94" s="154"/>
      <c r="AI94" s="154">
        <f>SUMIF('Flt III'!D:D,A94,'Flt III'!F:F)/3.2808^3</f>
        <v>0</v>
      </c>
      <c r="AK94" s="143">
        <f>SUM(AK95)</f>
        <v>23.673747358714085</v>
      </c>
    </row>
    <row r="95" spans="1:37" s="148" customFormat="1">
      <c r="A95" s="146" t="s">
        <v>1275</v>
      </c>
      <c r="B95" s="146"/>
      <c r="C95" s="147">
        <f>S95</f>
        <v>9.1047193454282045</v>
      </c>
      <c r="D95" s="147">
        <f t="shared" si="23"/>
        <v>0</v>
      </c>
      <c r="E95" s="147">
        <f t="shared" si="23"/>
        <v>0</v>
      </c>
      <c r="F95" s="147">
        <f t="shared" si="23"/>
        <v>0</v>
      </c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S95" s="155">
        <f>SUMIF('Flt III'!D:D,A95,'Flt III'!E:E)/3.2808^2</f>
        <v>9.1047193454282045</v>
      </c>
      <c r="T95" s="155">
        <f>SUMIF('Flt IIa'!A:A,A95,'Flt IIa'!E:E)/3.2808^2</f>
        <v>0</v>
      </c>
      <c r="U95" s="155">
        <f>SUMIF('OPC Des'!A:A,A95,'OPC Des'!F:F)/3.2808^2</f>
        <v>0</v>
      </c>
      <c r="V95" s="155">
        <f>SUMIF('LCS 5'!A:A,A95,'LCS 5'!E:E)</f>
        <v>0</v>
      </c>
      <c r="W95" s="155">
        <f>SUMIF('USCG Summary'!$A$25:$A$50,A95,'USCG Summary'!$F$25:$F$50)/3.2808^2</f>
        <v>0</v>
      </c>
      <c r="X95" s="155">
        <f>SUMIF('USCG Summary'!$A$25:$A$50,A95,'USCG Summary'!$I$25:$I$50)/3.2808^2</f>
        <v>0</v>
      </c>
      <c r="Y95" s="155">
        <f>SUMIF('USCG Summary'!$A$25:$A$50,A95,'USCG Summary'!$L$25:$L$50)/3.2808^2</f>
        <v>0</v>
      </c>
      <c r="Z95" s="155">
        <f>SUMIF('USCG Summary'!$A$25:$A$50,A95,'USCG Summary'!$O$25:$O$50)/3.2808^2</f>
        <v>0</v>
      </c>
      <c r="AA95" s="155">
        <f>SUMIF('USCG Summary'!$A$25:$A$50,A95,'USCG Summary'!$P$25:$P$50)/3.2808^2</f>
        <v>0</v>
      </c>
      <c r="AB95" s="155">
        <f>SUMIF('USCG Summary'!$A$25:$A$50,A95,'USCG Summary'!$Q$25:$Q$50)/3.2808^2</f>
        <v>0</v>
      </c>
      <c r="AC95" s="155">
        <f>SUMIF('USCG Summary'!$A$25:$A$50,A95,'USCG Summary'!$T$25:$T$50)/3.2808^2</f>
        <v>0</v>
      </c>
      <c r="AD95" s="155">
        <f>SUMIF('USCG Summary'!$A$25:$A$50,A95,'USCG Summary'!$W$25:$W$50)/3.2808^2</f>
        <v>0</v>
      </c>
      <c r="AE95" s="155">
        <f>SUMIF('USCG Summary'!$A$25:$A$50,A95,'USCG Summary'!$Z$25:$Z$50)/3.2808^2</f>
        <v>0</v>
      </c>
      <c r="AF95" s="155">
        <f>SUMIF(Comp!$A$75:$A$400,Areas!A95,Comp!$F$75:$F$400)</f>
        <v>0</v>
      </c>
      <c r="AG95" s="155">
        <f>SUMIF(Comp!$A$75:$A$400,Areas!A95,Comp!$G$75:$G$400)</f>
        <v>0</v>
      </c>
      <c r="AH95" s="155"/>
      <c r="AI95" s="155">
        <f>SUMIF('Flt III'!D:D,A95,'Flt III'!F:F)/3.2808^3</f>
        <v>23.673747358714085</v>
      </c>
      <c r="AK95" s="147">
        <f>AI95</f>
        <v>23.673747358714085</v>
      </c>
    </row>
    <row r="96" spans="1:37" s="141" customFormat="1">
      <c r="A96" s="144">
        <v>1.3211999999999999</v>
      </c>
      <c r="B96" s="144" t="str">
        <f>Comp!B115</f>
        <v>HELO FLIGHT CONTROL</v>
      </c>
      <c r="C96" s="145">
        <f>SUM(C97:C98)+S96</f>
        <v>7.4324239554515961</v>
      </c>
      <c r="D96" s="145">
        <f>SUM(D97:D98)+T96</f>
        <v>0</v>
      </c>
      <c r="E96" s="145">
        <f>SUM(E97:E98)+U96</f>
        <v>0</v>
      </c>
      <c r="F96" s="145">
        <f>SUM(F97:F98)+V96</f>
        <v>18.739999999999998</v>
      </c>
      <c r="G96" s="145"/>
      <c r="H96" s="145"/>
      <c r="I96" s="145"/>
      <c r="J96" s="145"/>
      <c r="K96" s="145"/>
      <c r="L96" s="145"/>
      <c r="M96" s="145"/>
      <c r="N96" s="145"/>
      <c r="O96" s="145"/>
      <c r="P96" s="145">
        <f>AF96</f>
        <v>9.3000000000000007</v>
      </c>
      <c r="Q96" s="145">
        <f>AG96</f>
        <v>9.3000000000000007</v>
      </c>
      <c r="S96" s="156">
        <f>SUMIF('Flt III'!D:D,A96,'Flt III'!E:E)/3.2808^2</f>
        <v>0</v>
      </c>
      <c r="T96" s="156">
        <f>SUMIF('Flt IIa'!A:A,A96,'Flt IIa'!E:E)/3.2808^2</f>
        <v>0</v>
      </c>
      <c r="U96" s="156">
        <f>SUMIF('OPC Des'!A:A,A96,'OPC Des'!F:F)/3.2808^2</f>
        <v>0</v>
      </c>
      <c r="V96" s="156">
        <f>SUMIF('LCS 5'!A:A,A96,'LCS 5'!E:E)</f>
        <v>0</v>
      </c>
      <c r="W96" s="156">
        <f>SUMIF('USCG Summary'!$A$25:$A$50,A96,'USCG Summary'!$F$25:$F$50)/3.2808^2</f>
        <v>0</v>
      </c>
      <c r="X96" s="156">
        <f>SUMIF('USCG Summary'!$A$25:$A$50,A96,'USCG Summary'!$I$25:$I$50)/3.2808^2</f>
        <v>0</v>
      </c>
      <c r="Y96" s="156">
        <f>SUMIF('USCG Summary'!$A$25:$A$50,A96,'USCG Summary'!$L$25:$L$50)/3.2808^2</f>
        <v>0</v>
      </c>
      <c r="Z96" s="156">
        <f>SUMIF('USCG Summary'!$A$25:$A$50,A96,'USCG Summary'!$O$25:$O$50)/3.2808^2</f>
        <v>0</v>
      </c>
      <c r="AA96" s="156">
        <f>SUMIF('USCG Summary'!$A$25:$A$50,A96,'USCG Summary'!$P$25:$P$50)/3.2808^2</f>
        <v>0</v>
      </c>
      <c r="AB96" s="156">
        <f>SUMIF('USCG Summary'!$A$25:$A$50,A96,'USCG Summary'!$Q$25:$Q$50)/3.2808^2</f>
        <v>0</v>
      </c>
      <c r="AC96" s="156">
        <f>SUMIF('USCG Summary'!$A$25:$A$50,A96,'USCG Summary'!$T$25:$T$50)/3.2808^2</f>
        <v>0</v>
      </c>
      <c r="AD96" s="156">
        <f>SUMIF('USCG Summary'!$A$25:$A$50,A96,'USCG Summary'!$W$25:$W$50)/3.2808^2</f>
        <v>0</v>
      </c>
      <c r="AE96" s="156">
        <f>SUMIF('USCG Summary'!$A$25:$A$50,A96,'USCG Summary'!$Z$25:$Z$50)/3.2808^2</f>
        <v>0</v>
      </c>
      <c r="AF96" s="156">
        <f>SUMIF(Comp!$A$75:$A$400,Areas!A96,Comp!$F$75:$F$400)</f>
        <v>9.3000000000000007</v>
      </c>
      <c r="AG96" s="156">
        <f>SUMIF(Comp!$A$75:$A$400,Areas!A96,Comp!$G$75:$G$400)</f>
        <v>9.3000000000000007</v>
      </c>
      <c r="AH96" s="156"/>
      <c r="AI96" s="156">
        <f>SUMIF('Flt III'!D:D,A96,'Flt III'!F:F)/3.2808^3</f>
        <v>0</v>
      </c>
      <c r="AK96" s="145">
        <f>SUM(AK97:AK98)+AI96</f>
        <v>20.757005758298355</v>
      </c>
    </row>
    <row r="97" spans="1:37" s="148" customFormat="1">
      <c r="A97" s="146">
        <v>1.3212010000000001</v>
      </c>
      <c r="B97" s="146" t="str">
        <f>Comp!B116</f>
        <v>HELICOPTER CONTROL STATION</v>
      </c>
      <c r="C97" s="147">
        <f t="shared" ref="C97:F100" si="24">S97</f>
        <v>0</v>
      </c>
      <c r="D97" s="147">
        <f t="shared" si="24"/>
        <v>0</v>
      </c>
      <c r="E97" s="147">
        <f t="shared" si="24"/>
        <v>0</v>
      </c>
      <c r="F97" s="147">
        <f t="shared" si="24"/>
        <v>0</v>
      </c>
      <c r="G97" s="147"/>
      <c r="H97" s="147"/>
      <c r="I97" s="147"/>
      <c r="J97" s="147"/>
      <c r="K97" s="147"/>
      <c r="L97" s="147"/>
      <c r="M97" s="147"/>
      <c r="N97" s="147"/>
      <c r="O97" s="147"/>
      <c r="P97" s="147">
        <f>AF97</f>
        <v>9.3000000000000007</v>
      </c>
      <c r="Q97" s="147">
        <f>AG97</f>
        <v>9.3000000000000007</v>
      </c>
      <c r="S97" s="155">
        <f>SUMIF('Flt III'!D:D,A97,'Flt III'!E:E)/3.2808^2</f>
        <v>0</v>
      </c>
      <c r="T97" s="155">
        <f>SUMIF('Flt IIa'!A:A,A97,'Flt IIa'!E:E)/3.2808^2</f>
        <v>0</v>
      </c>
      <c r="U97" s="155">
        <f>SUMIF('OPC Des'!A:A,A97,'OPC Des'!F:F)/3.2808^2</f>
        <v>0</v>
      </c>
      <c r="V97" s="155">
        <f>SUMIF('LCS 5'!A:A,A97,'LCS 5'!E:E)</f>
        <v>0</v>
      </c>
      <c r="W97" s="155">
        <f>SUMIF('USCG Summary'!$A$25:$A$50,A97,'USCG Summary'!$F$25:$F$50)/3.2808^2</f>
        <v>0</v>
      </c>
      <c r="X97" s="155">
        <f>SUMIF('USCG Summary'!$A$25:$A$50,A97,'USCG Summary'!$I$25:$I$50)/3.2808^2</f>
        <v>0</v>
      </c>
      <c r="Y97" s="155">
        <f>SUMIF('USCG Summary'!$A$25:$A$50,A97,'USCG Summary'!$L$25:$L$50)/3.2808^2</f>
        <v>0</v>
      </c>
      <c r="Z97" s="155">
        <f>SUMIF('USCG Summary'!$A$25:$A$50,A97,'USCG Summary'!$O$25:$O$50)/3.2808^2</f>
        <v>0</v>
      </c>
      <c r="AA97" s="155">
        <f>SUMIF('USCG Summary'!$A$25:$A$50,A97,'USCG Summary'!$P$25:$P$50)/3.2808^2</f>
        <v>0</v>
      </c>
      <c r="AB97" s="155">
        <f>SUMIF('USCG Summary'!$A$25:$A$50,A97,'USCG Summary'!$Q$25:$Q$50)/3.2808^2</f>
        <v>0</v>
      </c>
      <c r="AC97" s="155">
        <f>SUMIF('USCG Summary'!$A$25:$A$50,A97,'USCG Summary'!$T$25:$T$50)/3.2808^2</f>
        <v>0</v>
      </c>
      <c r="AD97" s="155">
        <f>SUMIF('USCG Summary'!$A$25:$A$50,A97,'USCG Summary'!$W$25:$W$50)/3.2808^2</f>
        <v>0</v>
      </c>
      <c r="AE97" s="155">
        <f>SUMIF('USCG Summary'!$A$25:$A$50,A97,'USCG Summary'!$Z$25:$Z$50)/3.2808^2</f>
        <v>0</v>
      </c>
      <c r="AF97" s="155">
        <f>SUMIF(Comp!$A$75:$A$400,Areas!A97,Comp!$F$75:$F$400)</f>
        <v>9.3000000000000007</v>
      </c>
      <c r="AG97" s="155">
        <f>SUMIF(Comp!$A$75:$A$400,Areas!A97,Comp!$G$75:$G$400)</f>
        <v>9.3000000000000007</v>
      </c>
      <c r="AH97" s="155"/>
      <c r="AI97" s="155">
        <f>SUMIF('Flt III'!D:D,A97,'Flt III'!F:F)/3.2808^3</f>
        <v>0</v>
      </c>
      <c r="AK97" s="147">
        <f>AI97</f>
        <v>0</v>
      </c>
    </row>
    <row r="98" spans="1:37" s="148" customFormat="1">
      <c r="A98" s="146" t="s">
        <v>1272</v>
      </c>
      <c r="B98" s="146"/>
      <c r="C98" s="147">
        <f t="shared" si="24"/>
        <v>7.4324239554515961</v>
      </c>
      <c r="D98" s="147">
        <f t="shared" si="24"/>
        <v>0</v>
      </c>
      <c r="E98" s="147">
        <f t="shared" si="24"/>
        <v>0</v>
      </c>
      <c r="F98" s="147">
        <f t="shared" si="24"/>
        <v>18.739999999999998</v>
      </c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S98" s="155">
        <f>SUMIF('Flt III'!D:D,A98,'Flt III'!E:E)/3.2808^2</f>
        <v>7.4324239554515961</v>
      </c>
      <c r="T98" s="155">
        <f>SUMIF('Flt IIa'!A:A,A98,'Flt IIa'!E:E)/3.2808^2</f>
        <v>0</v>
      </c>
      <c r="U98" s="155">
        <f>SUMIF('OPC Des'!A:A,A98,'OPC Des'!F:F)/3.2808^2</f>
        <v>0</v>
      </c>
      <c r="V98" s="155">
        <f>SUMIF('LCS 5'!A:A,A98,'LCS 5'!E:E)</f>
        <v>18.739999999999998</v>
      </c>
      <c r="W98" s="155">
        <f>SUMIF('USCG Summary'!$A$25:$A$50,A98,'USCG Summary'!$F$25:$F$50)/3.2808^2</f>
        <v>0</v>
      </c>
      <c r="X98" s="155">
        <f>SUMIF('USCG Summary'!$A$25:$A$50,A98,'USCG Summary'!$I$25:$I$50)/3.2808^2</f>
        <v>0</v>
      </c>
      <c r="Y98" s="155">
        <f>SUMIF('USCG Summary'!$A$25:$A$50,A98,'USCG Summary'!$L$25:$L$50)/3.2808^2</f>
        <v>0</v>
      </c>
      <c r="Z98" s="155">
        <f>SUMIF('USCG Summary'!$A$25:$A$50,A98,'USCG Summary'!$O$25:$O$50)/3.2808^2</f>
        <v>0</v>
      </c>
      <c r="AA98" s="155">
        <f>SUMIF('USCG Summary'!$A$25:$A$50,A98,'USCG Summary'!$P$25:$P$50)/3.2808^2</f>
        <v>0</v>
      </c>
      <c r="AB98" s="155">
        <f>SUMIF('USCG Summary'!$A$25:$A$50,A98,'USCG Summary'!$Q$25:$Q$50)/3.2808^2</f>
        <v>0</v>
      </c>
      <c r="AC98" s="155">
        <f>SUMIF('USCG Summary'!$A$25:$A$50,A98,'USCG Summary'!$T$25:$T$50)/3.2808^2</f>
        <v>0</v>
      </c>
      <c r="AD98" s="155">
        <f>SUMIF('USCG Summary'!$A$25:$A$50,A98,'USCG Summary'!$W$25:$W$50)/3.2808^2</f>
        <v>0</v>
      </c>
      <c r="AE98" s="155">
        <f>SUMIF('USCG Summary'!$A$25:$A$50,A98,'USCG Summary'!$Z$25:$Z$50)/3.2808^2</f>
        <v>0</v>
      </c>
      <c r="AF98" s="155">
        <f>SUMIF(Comp!$A$75:$A$400,Areas!A98,Comp!$F$75:$F$400)</f>
        <v>0</v>
      </c>
      <c r="AG98" s="155">
        <f>SUMIF(Comp!$A$75:$A$400,Areas!A98,Comp!$G$75:$G$400)</f>
        <v>0</v>
      </c>
      <c r="AH98" s="155"/>
      <c r="AI98" s="155">
        <f>SUMIF('Flt III'!D:D,A98,'Flt III'!F:F)/3.2808^3</f>
        <v>20.757005758298355</v>
      </c>
      <c r="AK98" s="147">
        <f>AI98</f>
        <v>20.757005758298355</v>
      </c>
    </row>
    <row r="99" spans="1:37" s="132" customFormat="1">
      <c r="A99" s="142">
        <v>1.3220000000000001</v>
      </c>
      <c r="B99" s="142" t="str">
        <f>Comp!B117</f>
        <v>NAVIGATION</v>
      </c>
      <c r="C99" s="143">
        <f t="shared" si="24"/>
        <v>0</v>
      </c>
      <c r="D99" s="143">
        <f t="shared" si="24"/>
        <v>0</v>
      </c>
      <c r="E99" s="143">
        <f t="shared" si="24"/>
        <v>0</v>
      </c>
      <c r="F99" s="143">
        <f t="shared" si="24"/>
        <v>0</v>
      </c>
      <c r="G99" s="143"/>
      <c r="H99" s="143"/>
      <c r="I99" s="143"/>
      <c r="J99" s="143"/>
      <c r="K99" s="143"/>
      <c r="L99" s="143"/>
      <c r="M99" s="143"/>
      <c r="N99" s="143"/>
      <c r="O99" s="143"/>
      <c r="P99" s="143">
        <f t="shared" ref="P99:Q101" si="25">AF99</f>
        <v>0</v>
      </c>
      <c r="Q99" s="143">
        <f t="shared" si="25"/>
        <v>0</v>
      </c>
      <c r="S99" s="154">
        <f>SUMIF('Flt III'!D:D,A99,'Flt III'!E:E)/3.2808^2</f>
        <v>0</v>
      </c>
      <c r="T99" s="154">
        <f>SUMIF('Flt IIa'!A:A,A99,'Flt IIa'!E:E)/3.2808^2</f>
        <v>0</v>
      </c>
      <c r="U99" s="154">
        <f>SUMIF('OPC Des'!A:A,A99,'OPC Des'!F:F)/3.2808^2</f>
        <v>0</v>
      </c>
      <c r="V99" s="154">
        <f>SUMIF('LCS 5'!A:A,A99,'LCS 5'!E:E)</f>
        <v>0</v>
      </c>
      <c r="W99" s="154">
        <f>SUMIF('USCG Summary'!$A$25:$A$50,A99,'USCG Summary'!$F$25:$F$50)/3.2808^2</f>
        <v>0</v>
      </c>
      <c r="X99" s="154">
        <f>SUMIF('USCG Summary'!$A$25:$A$50,A99,'USCG Summary'!$I$25:$I$50)/3.2808^2</f>
        <v>0</v>
      </c>
      <c r="Y99" s="154">
        <f>SUMIF('USCG Summary'!$A$25:$A$50,A99,'USCG Summary'!$L$25:$L$50)/3.2808^2</f>
        <v>0</v>
      </c>
      <c r="Z99" s="154">
        <f>SUMIF('USCG Summary'!$A$25:$A$50,A99,'USCG Summary'!$O$25:$O$50)/3.2808^2</f>
        <v>0</v>
      </c>
      <c r="AA99" s="154">
        <f>SUMIF('USCG Summary'!$A$25:$A$50,A99,'USCG Summary'!$P$25:$P$50)/3.2808^2</f>
        <v>0</v>
      </c>
      <c r="AB99" s="154">
        <f>SUMIF('USCG Summary'!$A$25:$A$50,A99,'USCG Summary'!$Q$25:$Q$50)/3.2808^2</f>
        <v>0</v>
      </c>
      <c r="AC99" s="154">
        <f>SUMIF('USCG Summary'!$A$25:$A$50,A99,'USCG Summary'!$T$25:$T$50)/3.2808^2</f>
        <v>0</v>
      </c>
      <c r="AD99" s="154">
        <f>SUMIF('USCG Summary'!$A$25:$A$50,A99,'USCG Summary'!$W$25:$W$50)/3.2808^2</f>
        <v>0</v>
      </c>
      <c r="AE99" s="154">
        <f>SUMIF('USCG Summary'!$A$25:$A$50,A99,'USCG Summary'!$Z$25:$Z$50)/3.2808^2</f>
        <v>0</v>
      </c>
      <c r="AF99" s="154">
        <f>SUMIF(Comp!$A$75:$A$400,Areas!A99,Comp!$F$75:$F$400)</f>
        <v>0</v>
      </c>
      <c r="AG99" s="154">
        <f>SUMIF(Comp!$A$75:$A$400,Areas!A99,Comp!$G$75:$G$400)</f>
        <v>0</v>
      </c>
      <c r="AH99" s="154"/>
      <c r="AI99" s="154">
        <f>SUMIF('Flt III'!D:D,A99,'Flt III'!F:F)/3.2808^3</f>
        <v>0</v>
      </c>
      <c r="AK99" s="143">
        <f>AI99</f>
        <v>0</v>
      </c>
    </row>
    <row r="100" spans="1:37" s="132" customFormat="1">
      <c r="A100" s="142">
        <v>1.323</v>
      </c>
      <c r="B100" s="142" t="str">
        <f>Comp!B118</f>
        <v>OPERATIONS</v>
      </c>
      <c r="C100" s="143">
        <f t="shared" si="24"/>
        <v>0</v>
      </c>
      <c r="D100" s="143">
        <f t="shared" si="24"/>
        <v>0</v>
      </c>
      <c r="E100" s="143">
        <f t="shared" si="24"/>
        <v>0</v>
      </c>
      <c r="F100" s="143">
        <f t="shared" si="24"/>
        <v>0</v>
      </c>
      <c r="G100" s="143"/>
      <c r="H100" s="143"/>
      <c r="I100" s="143"/>
      <c r="J100" s="143"/>
      <c r="K100" s="143"/>
      <c r="L100" s="143"/>
      <c r="M100" s="143"/>
      <c r="N100" s="143"/>
      <c r="O100" s="143"/>
      <c r="P100" s="143">
        <f t="shared" si="25"/>
        <v>0</v>
      </c>
      <c r="Q100" s="143">
        <f t="shared" si="25"/>
        <v>0</v>
      </c>
      <c r="S100" s="154">
        <f>SUMIF('Flt III'!D:D,A100,'Flt III'!E:E)/3.2808^2</f>
        <v>0</v>
      </c>
      <c r="T100" s="154">
        <f>SUMIF('Flt IIa'!A:A,A100,'Flt IIa'!E:E)/3.2808^2</f>
        <v>0</v>
      </c>
      <c r="U100" s="154">
        <f>SUMIF('OPC Des'!A:A,A100,'OPC Des'!F:F)/3.2808^2</f>
        <v>0</v>
      </c>
      <c r="V100" s="154">
        <f>SUMIF('LCS 5'!A:A,A100,'LCS 5'!E:E)</f>
        <v>0</v>
      </c>
      <c r="W100" s="154">
        <f>SUMIF('USCG Summary'!$A$25:$A$50,A100,'USCG Summary'!$F$25:$F$50)/3.2808^2</f>
        <v>0</v>
      </c>
      <c r="X100" s="154">
        <f>SUMIF('USCG Summary'!$A$25:$A$50,A100,'USCG Summary'!$I$25:$I$50)/3.2808^2</f>
        <v>0</v>
      </c>
      <c r="Y100" s="154">
        <f>SUMIF('USCG Summary'!$A$25:$A$50,A100,'USCG Summary'!$L$25:$L$50)/3.2808^2</f>
        <v>0</v>
      </c>
      <c r="Z100" s="154">
        <f>SUMIF('USCG Summary'!$A$25:$A$50,A100,'USCG Summary'!$O$25:$O$50)/3.2808^2</f>
        <v>0</v>
      </c>
      <c r="AA100" s="154">
        <f>SUMIF('USCG Summary'!$A$25:$A$50,A100,'USCG Summary'!$P$25:$P$50)/3.2808^2</f>
        <v>0</v>
      </c>
      <c r="AB100" s="154">
        <f>SUMIF('USCG Summary'!$A$25:$A$50,A100,'USCG Summary'!$Q$25:$Q$50)/3.2808^2</f>
        <v>0</v>
      </c>
      <c r="AC100" s="154">
        <f>SUMIF('USCG Summary'!$A$25:$A$50,A100,'USCG Summary'!$T$25:$T$50)/3.2808^2</f>
        <v>0</v>
      </c>
      <c r="AD100" s="154">
        <f>SUMIF('USCG Summary'!$A$25:$A$50,A100,'USCG Summary'!$W$25:$W$50)/3.2808^2</f>
        <v>0</v>
      </c>
      <c r="AE100" s="154">
        <f>SUMIF('USCG Summary'!$A$25:$A$50,A100,'USCG Summary'!$Z$25:$Z$50)/3.2808^2</f>
        <v>0</v>
      </c>
      <c r="AF100" s="154">
        <f>SUMIF(Comp!$A$75:$A$400,Areas!A100,Comp!$F$75:$F$400)</f>
        <v>0</v>
      </c>
      <c r="AG100" s="154">
        <f>SUMIF(Comp!$A$75:$A$400,Areas!A100,Comp!$G$75:$G$400)</f>
        <v>0</v>
      </c>
      <c r="AH100" s="154"/>
      <c r="AI100" s="154">
        <f>SUMIF('Flt III'!D:D,A100,'Flt III'!F:F)/3.2808^3</f>
        <v>0</v>
      </c>
      <c r="AK100" s="143">
        <f>AI100</f>
        <v>0</v>
      </c>
    </row>
    <row r="101" spans="1:37" s="134" customFormat="1">
      <c r="A101" s="140">
        <v>1.33</v>
      </c>
      <c r="B101" s="140" t="str">
        <f>Comp!B119</f>
        <v>AVIATION HANDLING</v>
      </c>
      <c r="C101" s="149">
        <f>IF(S101=0,SUM(C102,C104,C105),S101)</f>
        <v>0</v>
      </c>
      <c r="D101" s="149">
        <f>IF(T101=0,SUM(D102,D104,D105),T101)</f>
        <v>0</v>
      </c>
      <c r="E101" s="149">
        <f>IF(U101=0,SUM(E102,E104,E105),U101)</f>
        <v>0</v>
      </c>
      <c r="F101" s="149">
        <f>IF(V101=0,SUM(F102,F104,F105),V101)</f>
        <v>0</v>
      </c>
      <c r="G101" s="149"/>
      <c r="H101" s="149"/>
      <c r="I101" s="149"/>
      <c r="J101" s="149"/>
      <c r="K101" s="149"/>
      <c r="L101" s="149"/>
      <c r="M101" s="149"/>
      <c r="N101" s="149"/>
      <c r="O101" s="149"/>
      <c r="P101" s="149">
        <f t="shared" si="25"/>
        <v>0</v>
      </c>
      <c r="Q101" s="149">
        <f t="shared" si="25"/>
        <v>0</v>
      </c>
      <c r="S101" s="153">
        <f>SUMIF('Flt III'!D:D,A101,'Flt III'!E:E)/3.2808^2</f>
        <v>0</v>
      </c>
      <c r="T101" s="153">
        <f>SUMIF('Flt IIa'!A:A,A101,'Flt IIa'!E:E)/3.2808^2</f>
        <v>0</v>
      </c>
      <c r="U101" s="153">
        <f>SUMIF('OPC Des'!A:A,A101,'OPC Des'!F:F)/3.2808^2</f>
        <v>0</v>
      </c>
      <c r="V101" s="153">
        <f>SUMIF('LCS 5'!A:A,A101,'LCS 5'!E:E)</f>
        <v>0</v>
      </c>
      <c r="W101" s="153">
        <f>SUMIF('USCG Summary'!$A$25:$A$50,A101,'USCG Summary'!$F$25:$F$50)/3.2808^2</f>
        <v>0</v>
      </c>
      <c r="X101" s="153">
        <f>SUMIF('USCG Summary'!$A$25:$A$50,A101,'USCG Summary'!$I$25:$I$50)/3.2808^2</f>
        <v>0</v>
      </c>
      <c r="Y101" s="153">
        <f>SUMIF('USCG Summary'!$A$25:$A$50,A101,'USCG Summary'!$L$25:$L$50)/3.2808^2</f>
        <v>0</v>
      </c>
      <c r="Z101" s="153">
        <f>SUMIF('USCG Summary'!$A$25:$A$50,A101,'USCG Summary'!$O$25:$O$50)/3.2808^2</f>
        <v>0</v>
      </c>
      <c r="AA101" s="153">
        <f>SUMIF('USCG Summary'!$A$25:$A$50,A101,'USCG Summary'!$P$25:$P$50)/3.2808^2</f>
        <v>0</v>
      </c>
      <c r="AB101" s="153">
        <f>SUMIF('USCG Summary'!$A$25:$A$50,A101,'USCG Summary'!$Q$25:$Q$50)/3.2808^2</f>
        <v>0</v>
      </c>
      <c r="AC101" s="153">
        <f>SUMIF('USCG Summary'!$A$25:$A$50,A101,'USCG Summary'!$T$25:$T$50)/3.2808^2</f>
        <v>0</v>
      </c>
      <c r="AD101" s="153">
        <f>SUMIF('USCG Summary'!$A$25:$A$50,A101,'USCG Summary'!$W$25:$W$50)/3.2808^2</f>
        <v>0</v>
      </c>
      <c r="AE101" s="153">
        <f>SUMIF('USCG Summary'!$A$25:$A$50,A101,'USCG Summary'!$Z$25:$Z$50)/3.2808^2</f>
        <v>0</v>
      </c>
      <c r="AF101" s="153">
        <f>SUMIF(Comp!$A$75:$A$400,Areas!A101,Comp!$F$75:$F$400)</f>
        <v>0</v>
      </c>
      <c r="AG101" s="153">
        <f>SUMIF(Comp!$A$75:$A$400,Areas!A101,Comp!$G$75:$G$400)</f>
        <v>0</v>
      </c>
      <c r="AH101" s="153"/>
      <c r="AI101" s="153">
        <f>SUMIF('Flt III'!D:D,A101,'Flt III'!F:F)/3.2808^3</f>
        <v>0</v>
      </c>
      <c r="AK101" s="149">
        <f>IF(AI101=0,SUM(AK102,AK104,AK105),AI101)</f>
        <v>29.847045114933788</v>
      </c>
    </row>
    <row r="102" spans="1:37" s="132" customFormat="1">
      <c r="A102" s="142">
        <v>1.331</v>
      </c>
      <c r="B102" s="142"/>
      <c r="C102" s="143">
        <f>SUM(C103)</f>
        <v>0</v>
      </c>
      <c r="D102" s="143">
        <f>SUM(D103)</f>
        <v>0</v>
      </c>
      <c r="E102" s="143">
        <f>SUM(E103)</f>
        <v>0</v>
      </c>
      <c r="F102" s="143">
        <f>SUM(F103)</f>
        <v>0</v>
      </c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S102" s="154">
        <f>SUMIF('Flt III'!D:D,A102,'Flt III'!E:E)/3.2808^2</f>
        <v>0</v>
      </c>
      <c r="T102" s="154">
        <f>SUMIF('Flt IIa'!A:A,A102,'Flt IIa'!E:E)/3.2808^2</f>
        <v>0</v>
      </c>
      <c r="U102" s="154">
        <f>SUMIF('OPC Des'!A:A,A102,'OPC Des'!F:F)/3.2808^2</f>
        <v>0</v>
      </c>
      <c r="V102" s="154">
        <f>SUMIF('LCS 5'!A:A,A102,'LCS 5'!E:E)</f>
        <v>0</v>
      </c>
      <c r="W102" s="154">
        <f>SUMIF('USCG Summary'!$A$25:$A$50,A102,'USCG Summary'!$F$25:$F$50)/3.2808^2</f>
        <v>0</v>
      </c>
      <c r="X102" s="154">
        <f>SUMIF('USCG Summary'!$A$25:$A$50,A102,'USCG Summary'!$I$25:$I$50)/3.2808^2</f>
        <v>0</v>
      </c>
      <c r="Y102" s="154">
        <f>SUMIF('USCG Summary'!$A$25:$A$50,A102,'USCG Summary'!$L$25:$L$50)/3.2808^2</f>
        <v>0</v>
      </c>
      <c r="Z102" s="154">
        <f>SUMIF('USCG Summary'!$A$25:$A$50,A102,'USCG Summary'!$O$25:$O$50)/3.2808^2</f>
        <v>0</v>
      </c>
      <c r="AA102" s="154">
        <f>SUMIF('USCG Summary'!$A$25:$A$50,A102,'USCG Summary'!$P$25:$P$50)/3.2808^2</f>
        <v>0</v>
      </c>
      <c r="AB102" s="154">
        <f>SUMIF('USCG Summary'!$A$25:$A$50,A102,'USCG Summary'!$Q$25:$Q$50)/3.2808^2</f>
        <v>0</v>
      </c>
      <c r="AC102" s="154">
        <f>SUMIF('USCG Summary'!$A$25:$A$50,A102,'USCG Summary'!$T$25:$T$50)/3.2808^2</f>
        <v>0</v>
      </c>
      <c r="AD102" s="154">
        <f>SUMIF('USCG Summary'!$A$25:$A$50,A102,'USCG Summary'!$W$25:$W$50)/3.2808^2</f>
        <v>0</v>
      </c>
      <c r="AE102" s="154">
        <f>SUMIF('USCG Summary'!$A$25:$A$50,A102,'USCG Summary'!$Z$25:$Z$50)/3.2808^2</f>
        <v>0</v>
      </c>
      <c r="AF102" s="154">
        <f>SUMIF(Comp!$A$75:$A$400,Areas!A102,Comp!$F$75:$F$400)</f>
        <v>0</v>
      </c>
      <c r="AG102" s="154">
        <f>SUMIF(Comp!$A$75:$A$400,Areas!A102,Comp!$G$75:$G$400)</f>
        <v>0</v>
      </c>
      <c r="AH102" s="154"/>
      <c r="AI102" s="154">
        <f>SUMIF('Flt III'!D:D,A102,'Flt III'!F:F)/3.2808^3</f>
        <v>0</v>
      </c>
      <c r="AK102" s="143">
        <f>SUM(AK103)</f>
        <v>29.847045114933788</v>
      </c>
    </row>
    <row r="103" spans="1:37" s="148" customFormat="1">
      <c r="A103" s="146" t="s">
        <v>1269</v>
      </c>
      <c r="B103" s="146" t="str">
        <f>Comp!B120</f>
        <v>AIRCRAFT ELEVATORS</v>
      </c>
      <c r="C103" s="147">
        <f t="shared" ref="C103:F105" si="26">S103</f>
        <v>0</v>
      </c>
      <c r="D103" s="147">
        <f t="shared" si="26"/>
        <v>0</v>
      </c>
      <c r="E103" s="147">
        <f t="shared" si="26"/>
        <v>0</v>
      </c>
      <c r="F103" s="147">
        <f t="shared" si="26"/>
        <v>0</v>
      </c>
      <c r="G103" s="147"/>
      <c r="H103" s="147"/>
      <c r="I103" s="147"/>
      <c r="J103" s="147"/>
      <c r="K103" s="147"/>
      <c r="L103" s="147"/>
      <c r="M103" s="147"/>
      <c r="N103" s="147"/>
      <c r="O103" s="147"/>
      <c r="P103" s="147">
        <f t="shared" ref="P103:Q106" si="27">AF103</f>
        <v>0</v>
      </c>
      <c r="Q103" s="147">
        <f t="shared" si="27"/>
        <v>0</v>
      </c>
      <c r="S103" s="155">
        <f>SUMIF('Flt III'!D:D,A103,'Flt III'!E:E)/3.2808^2</f>
        <v>0</v>
      </c>
      <c r="T103" s="155">
        <f>SUMIF('Flt IIa'!A:A,A103,'Flt IIa'!E:E)/3.2808^2</f>
        <v>0</v>
      </c>
      <c r="U103" s="155">
        <f>SUMIF('OPC Des'!A:A,A103,'OPC Des'!F:F)/3.2808^2</f>
        <v>0</v>
      </c>
      <c r="V103" s="155">
        <f>SUMIF('LCS 5'!A:A,A103,'LCS 5'!E:E)</f>
        <v>0</v>
      </c>
      <c r="W103" s="155">
        <f>SUMIF('USCG Summary'!$A$25:$A$50,A103,'USCG Summary'!$F$25:$F$50)/3.2808^2</f>
        <v>0</v>
      </c>
      <c r="X103" s="155">
        <f>SUMIF('USCG Summary'!$A$25:$A$50,A103,'USCG Summary'!$I$25:$I$50)/3.2808^2</f>
        <v>0</v>
      </c>
      <c r="Y103" s="155">
        <f>SUMIF('USCG Summary'!$A$25:$A$50,A103,'USCG Summary'!$L$25:$L$50)/3.2808^2</f>
        <v>0</v>
      </c>
      <c r="Z103" s="155">
        <f>SUMIF('USCG Summary'!$A$25:$A$50,A103,'USCG Summary'!$O$25:$O$50)/3.2808^2</f>
        <v>0</v>
      </c>
      <c r="AA103" s="155">
        <f>SUMIF('USCG Summary'!$A$25:$A$50,A103,'USCG Summary'!$P$25:$P$50)/3.2808^2</f>
        <v>0</v>
      </c>
      <c r="AB103" s="155">
        <f>SUMIF('USCG Summary'!$A$25:$A$50,A103,'USCG Summary'!$Q$25:$Q$50)/3.2808^2</f>
        <v>0</v>
      </c>
      <c r="AC103" s="155">
        <f>SUMIF('USCG Summary'!$A$25:$A$50,A103,'USCG Summary'!$T$25:$T$50)/3.2808^2</f>
        <v>0</v>
      </c>
      <c r="AD103" s="155">
        <f>SUMIF('USCG Summary'!$A$25:$A$50,A103,'USCG Summary'!$W$25:$W$50)/3.2808^2</f>
        <v>0</v>
      </c>
      <c r="AE103" s="155">
        <f>SUMIF('USCG Summary'!$A$25:$A$50,A103,'USCG Summary'!$Z$25:$Z$50)/3.2808^2</f>
        <v>0</v>
      </c>
      <c r="AF103" s="155">
        <f>SUMIF(Comp!$A$75:$A$400,Areas!A103,Comp!$F$75:$F$400)</f>
        <v>0</v>
      </c>
      <c r="AG103" s="155">
        <f>SUMIF(Comp!$A$75:$A$400,Areas!A103,Comp!$G$75:$G$400)</f>
        <v>0</v>
      </c>
      <c r="AH103" s="155"/>
      <c r="AI103" s="155">
        <f>SUMIF('Flt III'!D:D,A103,'Flt III'!F:F)/3.2808^3</f>
        <v>29.847045114933788</v>
      </c>
      <c r="AK103" s="147">
        <f>AI103</f>
        <v>29.847045114933788</v>
      </c>
    </row>
    <row r="104" spans="1:37" s="132" customFormat="1">
      <c r="A104" s="142">
        <v>1.3320000000000001</v>
      </c>
      <c r="B104" s="142" t="str">
        <f>Comp!B121</f>
        <v>AIRCRAFT CRANE</v>
      </c>
      <c r="C104" s="143">
        <f t="shared" si="26"/>
        <v>0</v>
      </c>
      <c r="D104" s="143">
        <f t="shared" si="26"/>
        <v>0</v>
      </c>
      <c r="E104" s="143">
        <f t="shared" si="26"/>
        <v>0</v>
      </c>
      <c r="F104" s="143">
        <f t="shared" si="26"/>
        <v>0</v>
      </c>
      <c r="G104" s="143"/>
      <c r="H104" s="143"/>
      <c r="I104" s="143"/>
      <c r="J104" s="143"/>
      <c r="K104" s="143"/>
      <c r="L104" s="143"/>
      <c r="M104" s="143"/>
      <c r="N104" s="143"/>
      <c r="O104" s="143"/>
      <c r="P104" s="143">
        <f t="shared" si="27"/>
        <v>0</v>
      </c>
      <c r="Q104" s="143">
        <f t="shared" si="27"/>
        <v>0</v>
      </c>
      <c r="S104" s="154">
        <f>SUMIF('Flt III'!D:D,A104,'Flt III'!E:E)/3.2808^2</f>
        <v>0</v>
      </c>
      <c r="T104" s="154">
        <f>SUMIF('Flt IIa'!A:A,A104,'Flt IIa'!E:E)/3.2808^2</f>
        <v>0</v>
      </c>
      <c r="U104" s="154">
        <f>SUMIF('OPC Des'!A:A,A104,'OPC Des'!F:F)/3.2808^2</f>
        <v>0</v>
      </c>
      <c r="V104" s="154">
        <f>SUMIF('LCS 5'!A:A,A104,'LCS 5'!E:E)</f>
        <v>0</v>
      </c>
      <c r="W104" s="154">
        <f>SUMIF('USCG Summary'!$A$25:$A$50,A104,'USCG Summary'!$F$25:$F$50)/3.2808^2</f>
        <v>0</v>
      </c>
      <c r="X104" s="154">
        <f>SUMIF('USCG Summary'!$A$25:$A$50,A104,'USCG Summary'!$I$25:$I$50)/3.2808^2</f>
        <v>0</v>
      </c>
      <c r="Y104" s="154">
        <f>SUMIF('USCG Summary'!$A$25:$A$50,A104,'USCG Summary'!$L$25:$L$50)/3.2808^2</f>
        <v>0</v>
      </c>
      <c r="Z104" s="154">
        <f>SUMIF('USCG Summary'!$A$25:$A$50,A104,'USCG Summary'!$O$25:$O$50)/3.2808^2</f>
        <v>0</v>
      </c>
      <c r="AA104" s="154">
        <f>SUMIF('USCG Summary'!$A$25:$A$50,A104,'USCG Summary'!$P$25:$P$50)/3.2808^2</f>
        <v>0</v>
      </c>
      <c r="AB104" s="154">
        <f>SUMIF('USCG Summary'!$A$25:$A$50,A104,'USCG Summary'!$Q$25:$Q$50)/3.2808^2</f>
        <v>0</v>
      </c>
      <c r="AC104" s="154">
        <f>SUMIF('USCG Summary'!$A$25:$A$50,A104,'USCG Summary'!$T$25:$T$50)/3.2808^2</f>
        <v>0</v>
      </c>
      <c r="AD104" s="154">
        <f>SUMIF('USCG Summary'!$A$25:$A$50,A104,'USCG Summary'!$W$25:$W$50)/3.2808^2</f>
        <v>0</v>
      </c>
      <c r="AE104" s="154">
        <f>SUMIF('USCG Summary'!$A$25:$A$50,A104,'USCG Summary'!$Z$25:$Z$50)/3.2808^2</f>
        <v>0</v>
      </c>
      <c r="AF104" s="154">
        <f>SUMIF(Comp!$A$75:$A$400,Areas!A104,Comp!$F$75:$F$400)</f>
        <v>0</v>
      </c>
      <c r="AG104" s="154">
        <f>SUMIF(Comp!$A$75:$A$400,Areas!A104,Comp!$G$75:$G$400)</f>
        <v>0</v>
      </c>
      <c r="AH104" s="154"/>
      <c r="AI104" s="154">
        <f>SUMIF('Flt III'!D:D,A104,'Flt III'!F:F)/3.2808^3</f>
        <v>0</v>
      </c>
      <c r="AK104" s="143">
        <f>AI104</f>
        <v>0</v>
      </c>
    </row>
    <row r="105" spans="1:37" s="132" customFormat="1">
      <c r="A105" s="142">
        <v>1.3340000000000001</v>
      </c>
      <c r="B105" s="142" t="str">
        <f>Comp!B122</f>
        <v>GROUND SUPPORT EQUIPMENT</v>
      </c>
      <c r="C105" s="143">
        <f t="shared" si="26"/>
        <v>0</v>
      </c>
      <c r="D105" s="143">
        <f t="shared" si="26"/>
        <v>0</v>
      </c>
      <c r="E105" s="143">
        <f t="shared" si="26"/>
        <v>0</v>
      </c>
      <c r="F105" s="143">
        <f t="shared" si="26"/>
        <v>0</v>
      </c>
      <c r="G105" s="143"/>
      <c r="H105" s="143"/>
      <c r="I105" s="143"/>
      <c r="J105" s="143"/>
      <c r="K105" s="143"/>
      <c r="L105" s="143"/>
      <c r="M105" s="143"/>
      <c r="N105" s="143"/>
      <c r="O105" s="143"/>
      <c r="P105" s="143">
        <f t="shared" si="27"/>
        <v>0</v>
      </c>
      <c r="Q105" s="143">
        <f t="shared" si="27"/>
        <v>0</v>
      </c>
      <c r="S105" s="154">
        <f>SUMIF('Flt III'!D:D,A105,'Flt III'!E:E)/3.2808^2</f>
        <v>0</v>
      </c>
      <c r="T105" s="154">
        <f>SUMIF('Flt IIa'!A:A,A105,'Flt IIa'!E:E)/3.2808^2</f>
        <v>0</v>
      </c>
      <c r="U105" s="154">
        <f>SUMIF('OPC Des'!A:A,A105,'OPC Des'!F:F)/3.2808^2</f>
        <v>0</v>
      </c>
      <c r="V105" s="154">
        <f>SUMIF('LCS 5'!A:A,A105,'LCS 5'!E:E)</f>
        <v>0</v>
      </c>
      <c r="W105" s="154">
        <f>SUMIF('USCG Summary'!$A$25:$A$50,A105,'USCG Summary'!$F$25:$F$50)/3.2808^2</f>
        <v>0</v>
      </c>
      <c r="X105" s="154">
        <f>SUMIF('USCG Summary'!$A$25:$A$50,A105,'USCG Summary'!$I$25:$I$50)/3.2808^2</f>
        <v>0</v>
      </c>
      <c r="Y105" s="154">
        <f>SUMIF('USCG Summary'!$A$25:$A$50,A105,'USCG Summary'!$L$25:$L$50)/3.2808^2</f>
        <v>0</v>
      </c>
      <c r="Z105" s="154">
        <f>SUMIF('USCG Summary'!$A$25:$A$50,A105,'USCG Summary'!$O$25:$O$50)/3.2808^2</f>
        <v>0</v>
      </c>
      <c r="AA105" s="154">
        <f>SUMIF('USCG Summary'!$A$25:$A$50,A105,'USCG Summary'!$P$25:$P$50)/3.2808^2</f>
        <v>0</v>
      </c>
      <c r="AB105" s="154">
        <f>SUMIF('USCG Summary'!$A$25:$A$50,A105,'USCG Summary'!$Q$25:$Q$50)/3.2808^2</f>
        <v>0</v>
      </c>
      <c r="AC105" s="154">
        <f>SUMIF('USCG Summary'!$A$25:$A$50,A105,'USCG Summary'!$T$25:$T$50)/3.2808^2</f>
        <v>0</v>
      </c>
      <c r="AD105" s="154">
        <f>SUMIF('USCG Summary'!$A$25:$A$50,A105,'USCG Summary'!$W$25:$W$50)/3.2808^2</f>
        <v>0</v>
      </c>
      <c r="AE105" s="154">
        <f>SUMIF('USCG Summary'!$A$25:$A$50,A105,'USCG Summary'!$Z$25:$Z$50)/3.2808^2</f>
        <v>0</v>
      </c>
      <c r="AF105" s="154">
        <f>SUMIF(Comp!$A$75:$A$400,Areas!A105,Comp!$F$75:$F$400)</f>
        <v>0</v>
      </c>
      <c r="AG105" s="154">
        <f>SUMIF(Comp!$A$75:$A$400,Areas!A105,Comp!$G$75:$G$400)</f>
        <v>0</v>
      </c>
      <c r="AH105" s="154"/>
      <c r="AI105" s="154">
        <f>SUMIF('Flt III'!D:D,A105,'Flt III'!F:F)/3.2808^3</f>
        <v>0</v>
      </c>
      <c r="AK105" s="143">
        <f>AI105</f>
        <v>0</v>
      </c>
    </row>
    <row r="106" spans="1:37" s="134" customFormat="1">
      <c r="A106" s="140">
        <v>1.34</v>
      </c>
      <c r="B106" s="140" t="str">
        <f>Comp!B123</f>
        <v>AIRCRAFT STOWAGE</v>
      </c>
      <c r="C106" s="149">
        <f>IF(S106=0,SUM(C107,C108),S106)</f>
        <v>221.48623387245755</v>
      </c>
      <c r="D106" s="149">
        <f>IF(T106=0,SUM(D107,D108),T106)</f>
        <v>216.28353710364144</v>
      </c>
      <c r="E106" s="149">
        <f>IF(U106=0,SUM(E107,E108),U106)</f>
        <v>175.21939474977137</v>
      </c>
      <c r="F106" s="149">
        <f>IF(V106=0,SUM(F107,F108),V106)</f>
        <v>0</v>
      </c>
      <c r="G106" s="149"/>
      <c r="H106" s="149"/>
      <c r="I106" s="149"/>
      <c r="J106" s="149"/>
      <c r="K106" s="149"/>
      <c r="L106" s="149"/>
      <c r="M106" s="149"/>
      <c r="N106" s="149"/>
      <c r="O106" s="149"/>
      <c r="P106" s="149">
        <f t="shared" si="27"/>
        <v>0</v>
      </c>
      <c r="Q106" s="149">
        <f t="shared" si="27"/>
        <v>0</v>
      </c>
      <c r="S106" s="153">
        <f>SUMIF('Flt III'!D:D,A106,'Flt III'!E:E)/3.2808^2</f>
        <v>0</v>
      </c>
      <c r="T106" s="153">
        <f>SUMIF('Flt IIa'!A:A,A106,'Flt IIa'!E:E)/3.2808^2</f>
        <v>216.28353710364144</v>
      </c>
      <c r="U106" s="153">
        <f>SUMIF('OPC Des'!A:A,A106,'OPC Des'!F:F)/3.2808^2</f>
        <v>0</v>
      </c>
      <c r="V106" s="153">
        <f>SUMIF('LCS 5'!A:A,A106,'LCS 5'!E:E)</f>
        <v>0</v>
      </c>
      <c r="W106" s="153">
        <f>SUMIF('USCG Summary'!$A$25:$A$50,A106,'USCG Summary'!$F$25:$F$50)/3.2808^2</f>
        <v>0</v>
      </c>
      <c r="X106" s="153">
        <f>SUMIF('USCG Summary'!$A$25:$A$50,A106,'USCG Summary'!$I$25:$I$50)/3.2808^2</f>
        <v>0</v>
      </c>
      <c r="Y106" s="153">
        <f>SUMIF('USCG Summary'!$A$25:$A$50,A106,'USCG Summary'!$L$25:$L$50)/3.2808^2</f>
        <v>0</v>
      </c>
      <c r="Z106" s="153">
        <f>SUMIF('USCG Summary'!$A$25:$A$50,A106,'USCG Summary'!$O$25:$O$50)/3.2808^2</f>
        <v>0</v>
      </c>
      <c r="AA106" s="153">
        <f>SUMIF('USCG Summary'!$A$25:$A$50,A106,'USCG Summary'!$P$25:$P$50)/3.2808^2</f>
        <v>0</v>
      </c>
      <c r="AB106" s="153">
        <f>SUMIF('USCG Summary'!$A$25:$A$50,A106,'USCG Summary'!$Q$25:$Q$50)/3.2808^2</f>
        <v>0</v>
      </c>
      <c r="AC106" s="153">
        <f>SUMIF('USCG Summary'!$A$25:$A$50,A106,'USCG Summary'!$T$25:$T$50)/3.2808^2</f>
        <v>0</v>
      </c>
      <c r="AD106" s="153">
        <f>SUMIF('USCG Summary'!$A$25:$A$50,A106,'USCG Summary'!$W$25:$W$50)/3.2808^2</f>
        <v>0</v>
      </c>
      <c r="AE106" s="153">
        <f>SUMIF('USCG Summary'!$A$25:$A$50,A106,'USCG Summary'!$Z$25:$Z$50)/3.2808^2</f>
        <v>0</v>
      </c>
      <c r="AF106" s="153">
        <f>SUMIF(Comp!$A$75:$A$400,Areas!A106,Comp!$F$75:$F$400)</f>
        <v>0</v>
      </c>
      <c r="AG106" s="153">
        <f>SUMIF(Comp!$A$75:$A$400,Areas!A106,Comp!$G$75:$G$400)</f>
        <v>0</v>
      </c>
      <c r="AH106" s="153"/>
      <c r="AI106" s="153">
        <f>SUMIF('Flt III'!D:D,A106,'Flt III'!F:F)/3.2808^3</f>
        <v>0</v>
      </c>
      <c r="AK106" s="149">
        <f>IF(AI106=0,SUM(AK107,AK108),AI106)</f>
        <v>1148.8563760084096</v>
      </c>
    </row>
    <row r="107" spans="1:37" s="148" customFormat="1">
      <c r="A107" s="146" t="s">
        <v>1264</v>
      </c>
      <c r="B107" s="146"/>
      <c r="C107" s="147">
        <f t="shared" ref="C107:F108" si="28">S107</f>
        <v>221.48623387245755</v>
      </c>
      <c r="D107" s="147">
        <f t="shared" si="28"/>
        <v>0</v>
      </c>
      <c r="E107" s="147">
        <f t="shared" si="28"/>
        <v>175.21939474977137</v>
      </c>
      <c r="F107" s="147">
        <f t="shared" si="28"/>
        <v>0</v>
      </c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S107" s="155">
        <f>SUMIF('Flt III'!D:D,A107,'Flt III'!E:E)/3.2808^2</f>
        <v>221.48623387245755</v>
      </c>
      <c r="T107" s="155">
        <f>SUMIF('Flt IIa'!A:A,A107,'Flt IIa'!E:E)/3.2808^2</f>
        <v>0</v>
      </c>
      <c r="U107" s="155">
        <f>SUMIF('OPC Des'!A:A,A107,'OPC Des'!F:F)/3.2808^2</f>
        <v>175.21939474977137</v>
      </c>
      <c r="V107" s="155">
        <f>SUMIF('LCS 5'!A:A,A107,'LCS 5'!E:E)</f>
        <v>0</v>
      </c>
      <c r="W107" s="155">
        <f>SUMIF('USCG Summary'!$A$25:$A$50,A107,'USCG Summary'!$F$25:$F$50)/3.2808^2</f>
        <v>0</v>
      </c>
      <c r="X107" s="155">
        <f>SUMIF('USCG Summary'!$A$25:$A$50,A107,'USCG Summary'!$I$25:$I$50)/3.2808^2</f>
        <v>0</v>
      </c>
      <c r="Y107" s="155">
        <f>SUMIF('USCG Summary'!$A$25:$A$50,A107,'USCG Summary'!$L$25:$L$50)/3.2808^2</f>
        <v>0</v>
      </c>
      <c r="Z107" s="155">
        <f>SUMIF('USCG Summary'!$A$25:$A$50,A107,'USCG Summary'!$O$25:$O$50)/3.2808^2</f>
        <v>0</v>
      </c>
      <c r="AA107" s="155">
        <f>SUMIF('USCG Summary'!$A$25:$A$50,A107,'USCG Summary'!$P$25:$P$50)/3.2808^2</f>
        <v>0</v>
      </c>
      <c r="AB107" s="155">
        <f>SUMIF('USCG Summary'!$A$25:$A$50,A107,'USCG Summary'!$Q$25:$Q$50)/3.2808^2</f>
        <v>0</v>
      </c>
      <c r="AC107" s="155">
        <f>SUMIF('USCG Summary'!$A$25:$A$50,A107,'USCG Summary'!$T$25:$T$50)/3.2808^2</f>
        <v>0</v>
      </c>
      <c r="AD107" s="155">
        <f>SUMIF('USCG Summary'!$A$25:$A$50,A107,'USCG Summary'!$W$25:$W$50)/3.2808^2</f>
        <v>0</v>
      </c>
      <c r="AE107" s="155">
        <f>SUMIF('USCG Summary'!$A$25:$A$50,A107,'USCG Summary'!$Z$25:$Z$50)/3.2808^2</f>
        <v>0</v>
      </c>
      <c r="AF107" s="155">
        <f>SUMIF(Comp!$A$75:$A$400,Areas!A107,Comp!$F$75:$F$400)</f>
        <v>0</v>
      </c>
      <c r="AG107" s="155">
        <f>SUMIF(Comp!$A$75:$A$400,Areas!A107,Comp!$G$75:$G$400)</f>
        <v>0</v>
      </c>
      <c r="AH107" s="155"/>
      <c r="AI107" s="155">
        <f>SUMIF('Flt III'!D:D,A107,'Flt III'!F:F)/3.2808^3</f>
        <v>1148.8563760084096</v>
      </c>
      <c r="AK107" s="147">
        <f>AI107</f>
        <v>1148.8563760084096</v>
      </c>
    </row>
    <row r="108" spans="1:37" s="132" customFormat="1">
      <c r="A108" s="142">
        <v>1.3420000000000001</v>
      </c>
      <c r="B108" s="142" t="str">
        <f>Comp!B124</f>
        <v>HELICOPTER HANGAR</v>
      </c>
      <c r="C108" s="143">
        <f t="shared" si="28"/>
        <v>0</v>
      </c>
      <c r="D108" s="143">
        <f t="shared" si="28"/>
        <v>0</v>
      </c>
      <c r="E108" s="143">
        <f t="shared" si="28"/>
        <v>0</v>
      </c>
      <c r="F108" s="143">
        <f t="shared" si="28"/>
        <v>0</v>
      </c>
      <c r="G108" s="143"/>
      <c r="H108" s="143"/>
      <c r="I108" s="143"/>
      <c r="J108" s="143"/>
      <c r="K108" s="143"/>
      <c r="L108" s="143"/>
      <c r="M108" s="143"/>
      <c r="N108" s="143"/>
      <c r="O108" s="143"/>
      <c r="P108" s="143">
        <f t="shared" ref="P108:Q110" si="29">AF108</f>
        <v>0</v>
      </c>
      <c r="Q108" s="143">
        <f t="shared" si="29"/>
        <v>0</v>
      </c>
      <c r="S108" s="154">
        <f>SUMIF('Flt III'!D:D,A108,'Flt III'!E:E)/3.2808^2</f>
        <v>0</v>
      </c>
      <c r="T108" s="154">
        <f>SUMIF('Flt IIa'!A:A,A108,'Flt IIa'!E:E)/3.2808^2</f>
        <v>0</v>
      </c>
      <c r="U108" s="154">
        <f>SUMIF('OPC Des'!A:A,A108,'OPC Des'!F:F)/3.2808^2</f>
        <v>0</v>
      </c>
      <c r="V108" s="154">
        <f>SUMIF('LCS 5'!A:A,A108,'LCS 5'!E:E)</f>
        <v>0</v>
      </c>
      <c r="W108" s="154">
        <f>SUMIF('USCG Summary'!$A$25:$A$50,A108,'USCG Summary'!$F$25:$F$50)/3.2808^2</f>
        <v>0</v>
      </c>
      <c r="X108" s="154">
        <f>SUMIF('USCG Summary'!$A$25:$A$50,A108,'USCG Summary'!$I$25:$I$50)/3.2808^2</f>
        <v>0</v>
      </c>
      <c r="Y108" s="154">
        <f>SUMIF('USCG Summary'!$A$25:$A$50,A108,'USCG Summary'!$L$25:$L$50)/3.2808^2</f>
        <v>0</v>
      </c>
      <c r="Z108" s="154">
        <f>SUMIF('USCG Summary'!$A$25:$A$50,A108,'USCG Summary'!$O$25:$O$50)/3.2808^2</f>
        <v>0</v>
      </c>
      <c r="AA108" s="154">
        <f>SUMIF('USCG Summary'!$A$25:$A$50,A108,'USCG Summary'!$P$25:$P$50)/3.2808^2</f>
        <v>0</v>
      </c>
      <c r="AB108" s="154">
        <f>SUMIF('USCG Summary'!$A$25:$A$50,A108,'USCG Summary'!$Q$25:$Q$50)/3.2808^2</f>
        <v>0</v>
      </c>
      <c r="AC108" s="154">
        <f>SUMIF('USCG Summary'!$A$25:$A$50,A108,'USCG Summary'!$T$25:$T$50)/3.2808^2</f>
        <v>0</v>
      </c>
      <c r="AD108" s="154">
        <f>SUMIF('USCG Summary'!$A$25:$A$50,A108,'USCG Summary'!$W$25:$W$50)/3.2808^2</f>
        <v>0</v>
      </c>
      <c r="AE108" s="154">
        <f>SUMIF('USCG Summary'!$A$25:$A$50,A108,'USCG Summary'!$Z$25:$Z$50)/3.2808^2</f>
        <v>0</v>
      </c>
      <c r="AF108" s="154">
        <f>SUMIF(Comp!$A$75:$A$400,Areas!A108,Comp!$F$75:$F$400)</f>
        <v>0</v>
      </c>
      <c r="AG108" s="154">
        <f>SUMIF(Comp!$A$75:$A$400,Areas!A108,Comp!$G$75:$G$400)</f>
        <v>0</v>
      </c>
      <c r="AH108" s="154"/>
      <c r="AI108" s="154">
        <f>SUMIF('Flt III'!D:D,A108,'Flt III'!F:F)/3.2808^3</f>
        <v>0</v>
      </c>
      <c r="AK108" s="143">
        <f>AI108</f>
        <v>0</v>
      </c>
    </row>
    <row r="109" spans="1:37" s="134" customFormat="1">
      <c r="A109" s="140">
        <v>1.35</v>
      </c>
      <c r="B109" s="140" t="str">
        <f>Comp!B125</f>
        <v>AVIATION ADMINISTRATION</v>
      </c>
      <c r="C109" s="149">
        <f>IF(S109=0,SUM(C110,C112,C113),S109)</f>
        <v>25.54895734686486</v>
      </c>
      <c r="D109" s="149">
        <f>IF(T109=0,SUM(D110,D112,D113),T109)</f>
        <v>18.581059888628989</v>
      </c>
      <c r="E109" s="149">
        <f>IF(U109=0,SUM(E110,E112,E113),U109)</f>
        <v>8.2685716504399007</v>
      </c>
      <c r="F109" s="149">
        <f>IF(V109=0,SUM(F110,F112,F113),V109)</f>
        <v>11.4</v>
      </c>
      <c r="G109" s="149"/>
      <c r="H109" s="149"/>
      <c r="I109" s="149"/>
      <c r="J109" s="149"/>
      <c r="K109" s="149"/>
      <c r="L109" s="149"/>
      <c r="M109" s="149"/>
      <c r="N109" s="149"/>
      <c r="O109" s="149"/>
      <c r="P109" s="149">
        <f t="shared" si="29"/>
        <v>0</v>
      </c>
      <c r="Q109" s="149">
        <f t="shared" si="29"/>
        <v>0</v>
      </c>
      <c r="S109" s="153">
        <f>SUMIF('Flt III'!D:D,A109,'Flt III'!E:E)/3.2808^2</f>
        <v>0</v>
      </c>
      <c r="T109" s="153">
        <f>SUMIF('Flt IIa'!A:A,A109,'Flt IIa'!E:E)/3.2808^2</f>
        <v>0</v>
      </c>
      <c r="U109" s="153">
        <f>SUMIF('OPC Des'!A:A,A109,'OPC Des'!F:F)/3.2808^2</f>
        <v>0</v>
      </c>
      <c r="V109" s="153">
        <f>SUMIF('LCS 5'!A:A,A109,'LCS 5'!E:E)</f>
        <v>0</v>
      </c>
      <c r="W109" s="153">
        <f>SUMIF('USCG Summary'!$A$25:$A$50,A109,'USCG Summary'!$F$25:$F$50)/3.2808^2</f>
        <v>0</v>
      </c>
      <c r="X109" s="153">
        <f>SUMIF('USCG Summary'!$A$25:$A$50,A109,'USCG Summary'!$I$25:$I$50)/3.2808^2</f>
        <v>0</v>
      </c>
      <c r="Y109" s="153">
        <f>SUMIF('USCG Summary'!$A$25:$A$50,A109,'USCG Summary'!$L$25:$L$50)/3.2808^2</f>
        <v>0</v>
      </c>
      <c r="Z109" s="153">
        <f>SUMIF('USCG Summary'!$A$25:$A$50,A109,'USCG Summary'!$O$25:$O$50)/3.2808^2</f>
        <v>0</v>
      </c>
      <c r="AA109" s="153">
        <f>SUMIF('USCG Summary'!$A$25:$A$50,A109,'USCG Summary'!$P$25:$P$50)/3.2808^2</f>
        <v>0</v>
      </c>
      <c r="AB109" s="153">
        <f>SUMIF('USCG Summary'!$A$25:$A$50,A109,'USCG Summary'!$Q$25:$Q$50)/3.2808^2</f>
        <v>0</v>
      </c>
      <c r="AC109" s="153">
        <f>SUMIF('USCG Summary'!$A$25:$A$50,A109,'USCG Summary'!$T$25:$T$50)/3.2808^2</f>
        <v>0</v>
      </c>
      <c r="AD109" s="153">
        <f>SUMIF('USCG Summary'!$A$25:$A$50,A109,'USCG Summary'!$W$25:$W$50)/3.2808^2</f>
        <v>0</v>
      </c>
      <c r="AE109" s="153">
        <f>SUMIF('USCG Summary'!$A$25:$A$50,A109,'USCG Summary'!$Z$25:$Z$50)/3.2808^2</f>
        <v>0</v>
      </c>
      <c r="AF109" s="153">
        <f>SUMIF(Comp!$A$75:$A$400,Areas!A109,Comp!$F$75:$F$400)</f>
        <v>0</v>
      </c>
      <c r="AG109" s="153">
        <f>SUMIF(Comp!$A$75:$A$400,Areas!A109,Comp!$G$75:$G$400)</f>
        <v>0</v>
      </c>
      <c r="AH109" s="153"/>
      <c r="AI109" s="153">
        <f>SUMIF('Flt III'!D:D,A109,'Flt III'!F:F)/3.2808^3</f>
        <v>0</v>
      </c>
      <c r="AK109" s="149">
        <f>IF(AI109=0,SUM(AK110,AK112,AK113),AI109)</f>
        <v>72.890222130777573</v>
      </c>
    </row>
    <row r="110" spans="1:37" s="132" customFormat="1">
      <c r="A110" s="142">
        <v>1.353</v>
      </c>
      <c r="B110" s="142" t="str">
        <f>Comp!B126</f>
        <v>AIR WING</v>
      </c>
      <c r="C110" s="143">
        <f>SUM(C111)</f>
        <v>6.9678974582358713</v>
      </c>
      <c r="D110" s="143">
        <f>SUM(D111)</f>
        <v>0</v>
      </c>
      <c r="E110" s="143">
        <f>SUM(E111)</f>
        <v>8.2685716504399007</v>
      </c>
      <c r="F110" s="143">
        <f>SUM(F111)</f>
        <v>0</v>
      </c>
      <c r="G110" s="143"/>
      <c r="H110" s="143"/>
      <c r="I110" s="143"/>
      <c r="J110" s="143"/>
      <c r="K110" s="143"/>
      <c r="L110" s="143"/>
      <c r="M110" s="143"/>
      <c r="N110" s="143"/>
      <c r="O110" s="143"/>
      <c r="P110" s="143">
        <f t="shared" si="29"/>
        <v>0</v>
      </c>
      <c r="Q110" s="143">
        <f t="shared" si="29"/>
        <v>0</v>
      </c>
      <c r="S110" s="154">
        <f>SUMIF('Flt III'!D:D,A110,'Flt III'!E:E)/3.2808^2</f>
        <v>0</v>
      </c>
      <c r="T110" s="154">
        <f>SUMIF('Flt IIa'!A:A,A110,'Flt IIa'!E:E)/3.2808^2</f>
        <v>6.9678974582358713</v>
      </c>
      <c r="U110" s="154">
        <f>SUMIF('OPC Des'!A:A,A110,'OPC Des'!F:F)/3.2808^2</f>
        <v>0</v>
      </c>
      <c r="V110" s="154">
        <f>SUMIF('LCS 5'!A:A,A110,'LCS 5'!E:E)</f>
        <v>0</v>
      </c>
      <c r="W110" s="154">
        <f>SUMIF('USCG Summary'!$A$25:$A$50,A110,'USCG Summary'!$F$25:$F$50)/3.2808^2</f>
        <v>0</v>
      </c>
      <c r="X110" s="154">
        <f>SUMIF('USCG Summary'!$A$25:$A$50,A110,'USCG Summary'!$I$25:$I$50)/3.2808^2</f>
        <v>0</v>
      </c>
      <c r="Y110" s="154">
        <f>SUMIF('USCG Summary'!$A$25:$A$50,A110,'USCG Summary'!$L$25:$L$50)/3.2808^2</f>
        <v>0</v>
      </c>
      <c r="Z110" s="154">
        <f>SUMIF('USCG Summary'!$A$25:$A$50,A110,'USCG Summary'!$O$25:$O$50)/3.2808^2</f>
        <v>0</v>
      </c>
      <c r="AA110" s="154">
        <f>SUMIF('USCG Summary'!$A$25:$A$50,A110,'USCG Summary'!$P$25:$P$50)/3.2808^2</f>
        <v>0</v>
      </c>
      <c r="AB110" s="154">
        <f>SUMIF('USCG Summary'!$A$25:$A$50,A110,'USCG Summary'!$Q$25:$Q$50)/3.2808^2</f>
        <v>0</v>
      </c>
      <c r="AC110" s="154">
        <f>SUMIF('USCG Summary'!$A$25:$A$50,A110,'USCG Summary'!$T$25:$T$50)/3.2808^2</f>
        <v>0</v>
      </c>
      <c r="AD110" s="154">
        <f>SUMIF('USCG Summary'!$A$25:$A$50,A110,'USCG Summary'!$W$25:$W$50)/3.2808^2</f>
        <v>0</v>
      </c>
      <c r="AE110" s="154">
        <f>SUMIF('USCG Summary'!$A$25:$A$50,A110,'USCG Summary'!$Z$25:$Z$50)/3.2808^2</f>
        <v>0</v>
      </c>
      <c r="AF110" s="154">
        <f>SUMIF(Comp!$A$75:$A$400,Areas!A110,Comp!$F$75:$F$400)</f>
        <v>0</v>
      </c>
      <c r="AG110" s="154">
        <f>SUMIF(Comp!$A$75:$A$400,Areas!A110,Comp!$G$75:$G$400)</f>
        <v>0</v>
      </c>
      <c r="AH110" s="154"/>
      <c r="AI110" s="154">
        <f>SUMIF('Flt III'!D:D,A110,'Flt III'!F:F)/3.2808^3</f>
        <v>0</v>
      </c>
      <c r="AK110" s="143">
        <f>SUM(AK111)</f>
        <v>20.27560180483168</v>
      </c>
    </row>
    <row r="111" spans="1:37" s="148" customFormat="1">
      <c r="A111" s="146" t="s">
        <v>1261</v>
      </c>
      <c r="B111" s="146"/>
      <c r="C111" s="147">
        <f>S111</f>
        <v>6.9678974582358713</v>
      </c>
      <c r="D111" s="147">
        <f>T111</f>
        <v>0</v>
      </c>
      <c r="E111" s="147">
        <f>U111</f>
        <v>8.2685716504399007</v>
      </c>
      <c r="F111" s="147">
        <f>V111</f>
        <v>0</v>
      </c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S111" s="155">
        <f>SUMIF('Flt III'!D:D,A111,'Flt III'!E:E)/3.2808^2</f>
        <v>6.9678974582358713</v>
      </c>
      <c r="T111" s="155">
        <f>SUMIF('Flt IIa'!A:A,A111,'Flt IIa'!E:E)/3.2808^2</f>
        <v>0</v>
      </c>
      <c r="U111" s="155">
        <f>SUMIF('OPC Des'!A:A,A111,'OPC Des'!F:F)/3.2808^2</f>
        <v>8.2685716504399007</v>
      </c>
      <c r="V111" s="155">
        <f>SUMIF('LCS 5'!A:A,A111,'LCS 5'!E:E)</f>
        <v>0</v>
      </c>
      <c r="W111" s="155">
        <f>SUMIF('USCG Summary'!$A$25:$A$50,A111,'USCG Summary'!$F$25:$F$50)/3.2808^2</f>
        <v>0</v>
      </c>
      <c r="X111" s="155">
        <f>SUMIF('USCG Summary'!$A$25:$A$50,A111,'USCG Summary'!$I$25:$I$50)/3.2808^2</f>
        <v>0</v>
      </c>
      <c r="Y111" s="155">
        <f>SUMIF('USCG Summary'!$A$25:$A$50,A111,'USCG Summary'!$L$25:$L$50)/3.2808^2</f>
        <v>0</v>
      </c>
      <c r="Z111" s="155">
        <f>SUMIF('USCG Summary'!$A$25:$A$50,A111,'USCG Summary'!$O$25:$O$50)/3.2808^2</f>
        <v>0</v>
      </c>
      <c r="AA111" s="155">
        <f>SUMIF('USCG Summary'!$A$25:$A$50,A111,'USCG Summary'!$P$25:$P$50)/3.2808^2</f>
        <v>0</v>
      </c>
      <c r="AB111" s="155">
        <f>SUMIF('USCG Summary'!$A$25:$A$50,A111,'USCG Summary'!$Q$25:$Q$50)/3.2808^2</f>
        <v>0</v>
      </c>
      <c r="AC111" s="155">
        <f>SUMIF('USCG Summary'!$A$25:$A$50,A111,'USCG Summary'!$T$25:$T$50)/3.2808^2</f>
        <v>0</v>
      </c>
      <c r="AD111" s="155">
        <f>SUMIF('USCG Summary'!$A$25:$A$50,A111,'USCG Summary'!$W$25:$W$50)/3.2808^2</f>
        <v>0</v>
      </c>
      <c r="AE111" s="155">
        <f>SUMIF('USCG Summary'!$A$25:$A$50,A111,'USCG Summary'!$Z$25:$Z$50)/3.2808^2</f>
        <v>0</v>
      </c>
      <c r="AF111" s="155">
        <f>SUMIF(Comp!$A$75:$A$400,Areas!A111,Comp!$F$75:$F$400)</f>
        <v>0</v>
      </c>
      <c r="AG111" s="155">
        <f>SUMIF(Comp!$A$75:$A$400,Areas!A111,Comp!$G$75:$G$400)</f>
        <v>0</v>
      </c>
      <c r="AH111" s="155"/>
      <c r="AI111" s="155">
        <f>SUMIF('Flt III'!D:D,A111,'Flt III'!F:F)/3.2808^3</f>
        <v>20.27560180483168</v>
      </c>
      <c r="AK111" s="147">
        <f>AI111</f>
        <v>20.27560180483168</v>
      </c>
    </row>
    <row r="112" spans="1:37" s="134" customFormat="1">
      <c r="A112" s="140">
        <v>1.36</v>
      </c>
      <c r="B112" s="140" t="str">
        <f>Comp!B127</f>
        <v>AVIATION MAINTENANCE</v>
      </c>
      <c r="C112" s="149">
        <f>IF(S112=0,SUM(C113,C114),S112)</f>
        <v>18.581059888628989</v>
      </c>
      <c r="D112" s="149">
        <f>IF(T112=0,SUM(D113,D114),T112)</f>
        <v>18.581059888628989</v>
      </c>
      <c r="E112" s="149">
        <f>IF(U112=0,SUM(E113,E114),U112)</f>
        <v>0</v>
      </c>
      <c r="F112" s="149">
        <f>IF(V112=0,SUM(F113,F114),V112)</f>
        <v>11.4</v>
      </c>
      <c r="G112" s="149"/>
      <c r="H112" s="149"/>
      <c r="I112" s="149"/>
      <c r="J112" s="149"/>
      <c r="K112" s="149"/>
      <c r="L112" s="149"/>
      <c r="M112" s="149"/>
      <c r="N112" s="149"/>
      <c r="O112" s="149"/>
      <c r="P112" s="149">
        <f t="shared" ref="P112:Q114" si="30">AF112</f>
        <v>0</v>
      </c>
      <c r="Q112" s="149">
        <f t="shared" si="30"/>
        <v>0</v>
      </c>
      <c r="S112" s="153">
        <f>SUMIF('Flt III'!D:D,A112,'Flt III'!E:E)/3.2808^2</f>
        <v>0</v>
      </c>
      <c r="T112" s="153">
        <f>SUMIF('Flt IIa'!A:A,A112,'Flt IIa'!E:E)/3.2808^2</f>
        <v>18.581059888628989</v>
      </c>
      <c r="U112" s="153">
        <f>SUMIF('OPC Des'!A:A,A112,'OPC Des'!F:F)/3.2808^2</f>
        <v>0</v>
      </c>
      <c r="V112" s="153">
        <f>SUMIF('LCS 5'!A:A,A112,'LCS 5'!E:E)</f>
        <v>11.4</v>
      </c>
      <c r="W112" s="153">
        <f>SUMIF('USCG Summary'!$A$25:$A$50,A112,'USCG Summary'!$F$25:$F$50)/3.2808^2</f>
        <v>0</v>
      </c>
      <c r="X112" s="153">
        <f>SUMIF('USCG Summary'!$A$25:$A$50,A112,'USCG Summary'!$I$25:$I$50)/3.2808^2</f>
        <v>0</v>
      </c>
      <c r="Y112" s="153">
        <f>SUMIF('USCG Summary'!$A$25:$A$50,A112,'USCG Summary'!$L$25:$L$50)/3.2808^2</f>
        <v>0</v>
      </c>
      <c r="Z112" s="153">
        <f>SUMIF('USCG Summary'!$A$25:$A$50,A112,'USCG Summary'!$O$25:$O$50)/3.2808^2</f>
        <v>0</v>
      </c>
      <c r="AA112" s="153">
        <f>SUMIF('USCG Summary'!$A$25:$A$50,A112,'USCG Summary'!$P$25:$P$50)/3.2808^2</f>
        <v>0</v>
      </c>
      <c r="AB112" s="153">
        <f>SUMIF('USCG Summary'!$A$25:$A$50,A112,'USCG Summary'!$Q$25:$Q$50)/3.2808^2</f>
        <v>0</v>
      </c>
      <c r="AC112" s="153">
        <f>SUMIF('USCG Summary'!$A$25:$A$50,A112,'USCG Summary'!$T$25:$T$50)/3.2808^2</f>
        <v>0</v>
      </c>
      <c r="AD112" s="153">
        <f>SUMIF('USCG Summary'!$A$25:$A$50,A112,'USCG Summary'!$W$25:$W$50)/3.2808^2</f>
        <v>0</v>
      </c>
      <c r="AE112" s="153">
        <f>SUMIF('USCG Summary'!$A$25:$A$50,A112,'USCG Summary'!$Z$25:$Z$50)/3.2808^2</f>
        <v>0</v>
      </c>
      <c r="AF112" s="153">
        <f>SUMIF(Comp!$A$75:$A$400,Areas!A112,Comp!$F$75:$F$400)</f>
        <v>0</v>
      </c>
      <c r="AG112" s="153">
        <f>SUMIF(Comp!$A$75:$A$400,Areas!A112,Comp!$G$75:$G$400)</f>
        <v>0</v>
      </c>
      <c r="AH112" s="153"/>
      <c r="AI112" s="153">
        <f>SUMIF('Flt III'!D:D,A112,'Flt III'!F:F)/3.2808^3</f>
        <v>0</v>
      </c>
      <c r="AK112" s="149">
        <f>IF(AI112=0,SUM(AK113,AK114),AI112)</f>
        <v>52.6146203259459</v>
      </c>
    </row>
    <row r="113" spans="1:37" s="132" customFormat="1">
      <c r="A113" s="142">
        <v>1.361</v>
      </c>
      <c r="B113" s="142" t="str">
        <f>Comp!B128</f>
        <v>AIRFRAME SHOPS</v>
      </c>
      <c r="C113" s="143">
        <f>S113</f>
        <v>0</v>
      </c>
      <c r="D113" s="143">
        <f>T113</f>
        <v>0</v>
      </c>
      <c r="E113" s="143">
        <f>U113</f>
        <v>0</v>
      </c>
      <c r="F113" s="143">
        <f>V113</f>
        <v>0</v>
      </c>
      <c r="G113" s="143"/>
      <c r="H113" s="143"/>
      <c r="I113" s="143"/>
      <c r="J113" s="143"/>
      <c r="K113" s="143"/>
      <c r="L113" s="143"/>
      <c r="M113" s="143"/>
      <c r="N113" s="143"/>
      <c r="O113" s="143"/>
      <c r="P113" s="143">
        <f t="shared" si="30"/>
        <v>0</v>
      </c>
      <c r="Q113" s="143">
        <f t="shared" si="30"/>
        <v>0</v>
      </c>
      <c r="S113" s="154">
        <f>SUMIF('Flt III'!D:D,A113,'Flt III'!E:E)/3.2808^2</f>
        <v>0</v>
      </c>
      <c r="T113" s="154">
        <f>SUMIF('Flt IIa'!A:A,A113,'Flt IIa'!E:E)/3.2808^2</f>
        <v>0</v>
      </c>
      <c r="U113" s="154">
        <f>SUMIF('OPC Des'!A:A,A113,'OPC Des'!F:F)/3.2808^2</f>
        <v>0</v>
      </c>
      <c r="V113" s="154">
        <f>SUMIF('LCS 5'!A:A,A113,'LCS 5'!E:E)</f>
        <v>0</v>
      </c>
      <c r="W113" s="154">
        <f>SUMIF('USCG Summary'!$A$25:$A$50,A113,'USCG Summary'!$F$25:$F$50)/3.2808^2</f>
        <v>0</v>
      </c>
      <c r="X113" s="154">
        <f>SUMIF('USCG Summary'!$A$25:$A$50,A113,'USCG Summary'!$I$25:$I$50)/3.2808^2</f>
        <v>0</v>
      </c>
      <c r="Y113" s="154">
        <f>SUMIF('USCG Summary'!$A$25:$A$50,A113,'USCG Summary'!$L$25:$L$50)/3.2808^2</f>
        <v>0</v>
      </c>
      <c r="Z113" s="154">
        <f>SUMIF('USCG Summary'!$A$25:$A$50,A113,'USCG Summary'!$O$25:$O$50)/3.2808^2</f>
        <v>0</v>
      </c>
      <c r="AA113" s="154">
        <f>SUMIF('USCG Summary'!$A$25:$A$50,A113,'USCG Summary'!$P$25:$P$50)/3.2808^2</f>
        <v>0</v>
      </c>
      <c r="AB113" s="154">
        <f>SUMIF('USCG Summary'!$A$25:$A$50,A113,'USCG Summary'!$Q$25:$Q$50)/3.2808^2</f>
        <v>0</v>
      </c>
      <c r="AC113" s="154">
        <f>SUMIF('USCG Summary'!$A$25:$A$50,A113,'USCG Summary'!$T$25:$T$50)/3.2808^2</f>
        <v>0</v>
      </c>
      <c r="AD113" s="154">
        <f>SUMIF('USCG Summary'!$A$25:$A$50,A113,'USCG Summary'!$W$25:$W$50)/3.2808^2</f>
        <v>0</v>
      </c>
      <c r="AE113" s="154">
        <f>SUMIF('USCG Summary'!$A$25:$A$50,A113,'USCG Summary'!$Z$25:$Z$50)/3.2808^2</f>
        <v>0</v>
      </c>
      <c r="AF113" s="154">
        <f>SUMIF(Comp!$A$75:$A$400,Areas!A113,Comp!$F$75:$F$400)</f>
        <v>0</v>
      </c>
      <c r="AG113" s="154">
        <f>SUMIF(Comp!$A$75:$A$400,Areas!A113,Comp!$G$75:$G$400)</f>
        <v>0</v>
      </c>
      <c r="AH113" s="154"/>
      <c r="AI113" s="154">
        <f>SUMIF('Flt III'!D:D,A113,'Flt III'!F:F)/3.2808^3</f>
        <v>0</v>
      </c>
      <c r="AK113" s="143">
        <f>AI113</f>
        <v>0</v>
      </c>
    </row>
    <row r="114" spans="1:37" s="132" customFormat="1">
      <c r="A114" s="142">
        <v>1.369</v>
      </c>
      <c r="B114" s="142" t="str">
        <f>Comp!B129</f>
        <v>ORGANIZATIONAL LEVEL MAINTANENCE</v>
      </c>
      <c r="C114" s="143">
        <f>SUM(C115)</f>
        <v>18.581059888628989</v>
      </c>
      <c r="D114" s="143">
        <f>SUM(D115)</f>
        <v>0</v>
      </c>
      <c r="E114" s="143">
        <f>SUM(E115)</f>
        <v>0</v>
      </c>
      <c r="F114" s="143">
        <f>SUM(F115)</f>
        <v>0</v>
      </c>
      <c r="G114" s="143"/>
      <c r="H114" s="143"/>
      <c r="I114" s="143"/>
      <c r="J114" s="143"/>
      <c r="K114" s="143"/>
      <c r="L114" s="143"/>
      <c r="M114" s="143"/>
      <c r="N114" s="143"/>
      <c r="O114" s="143"/>
      <c r="P114" s="143">
        <f t="shared" si="30"/>
        <v>0</v>
      </c>
      <c r="Q114" s="143">
        <f t="shared" si="30"/>
        <v>0</v>
      </c>
      <c r="S114" s="154">
        <f>SUMIF('Flt III'!D:D,A114,'Flt III'!E:E)/3.2808^2</f>
        <v>0</v>
      </c>
      <c r="T114" s="154">
        <f>SUMIF('Flt IIa'!A:A,A114,'Flt IIa'!E:E)/3.2808^2</f>
        <v>0</v>
      </c>
      <c r="U114" s="154">
        <f>SUMIF('OPC Des'!A:A,A114,'OPC Des'!F:F)/3.2808^2</f>
        <v>0</v>
      </c>
      <c r="V114" s="154">
        <f>SUMIF('LCS 5'!A:A,A114,'LCS 5'!E:E)</f>
        <v>0</v>
      </c>
      <c r="W114" s="154">
        <f>SUMIF('USCG Summary'!$A$25:$A$50,A114,'USCG Summary'!$F$25:$F$50)/3.2808^2</f>
        <v>0</v>
      </c>
      <c r="X114" s="154">
        <f>SUMIF('USCG Summary'!$A$25:$A$50,A114,'USCG Summary'!$I$25:$I$50)/3.2808^2</f>
        <v>0</v>
      </c>
      <c r="Y114" s="154">
        <f>SUMIF('USCG Summary'!$A$25:$A$50,A114,'USCG Summary'!$L$25:$L$50)/3.2808^2</f>
        <v>0</v>
      </c>
      <c r="Z114" s="154">
        <f>SUMIF('USCG Summary'!$A$25:$A$50,A114,'USCG Summary'!$O$25:$O$50)/3.2808^2</f>
        <v>0</v>
      </c>
      <c r="AA114" s="154">
        <f>SUMIF('USCG Summary'!$A$25:$A$50,A114,'USCG Summary'!$P$25:$P$50)/3.2808^2</f>
        <v>0</v>
      </c>
      <c r="AB114" s="154">
        <f>SUMIF('USCG Summary'!$A$25:$A$50,A114,'USCG Summary'!$Q$25:$Q$50)/3.2808^2</f>
        <v>0</v>
      </c>
      <c r="AC114" s="154">
        <f>SUMIF('USCG Summary'!$A$25:$A$50,A114,'USCG Summary'!$T$25:$T$50)/3.2808^2</f>
        <v>0</v>
      </c>
      <c r="AD114" s="154">
        <f>SUMIF('USCG Summary'!$A$25:$A$50,A114,'USCG Summary'!$W$25:$W$50)/3.2808^2</f>
        <v>0</v>
      </c>
      <c r="AE114" s="154">
        <f>SUMIF('USCG Summary'!$A$25:$A$50,A114,'USCG Summary'!$Z$25:$Z$50)/3.2808^2</f>
        <v>0</v>
      </c>
      <c r="AF114" s="154">
        <f>SUMIF(Comp!$A$75:$A$400,Areas!A114,Comp!$F$75:$F$400)</f>
        <v>0</v>
      </c>
      <c r="AG114" s="154">
        <f>SUMIF(Comp!$A$75:$A$400,Areas!A114,Comp!$G$75:$G$400)</f>
        <v>0</v>
      </c>
      <c r="AH114" s="154"/>
      <c r="AI114" s="154">
        <f>SUMIF('Flt III'!D:D,A114,'Flt III'!F:F)/3.2808^3</f>
        <v>0</v>
      </c>
      <c r="AK114" s="143">
        <f>SUM(AK115)</f>
        <v>52.6146203259459</v>
      </c>
    </row>
    <row r="115" spans="1:37" s="148" customFormat="1">
      <c r="A115" s="146" t="s">
        <v>1258</v>
      </c>
      <c r="B115" s="146"/>
      <c r="C115" s="147">
        <f>S115</f>
        <v>18.581059888628989</v>
      </c>
      <c r="D115" s="147">
        <f>T115</f>
        <v>0</v>
      </c>
      <c r="E115" s="147">
        <f>U115</f>
        <v>0</v>
      </c>
      <c r="F115" s="147">
        <f>V115</f>
        <v>0</v>
      </c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S115" s="155">
        <f>SUMIF('Flt III'!D:D,A115,'Flt III'!E:E)/3.2808^2</f>
        <v>18.581059888628989</v>
      </c>
      <c r="T115" s="155">
        <f>SUMIF('Flt IIa'!A:A,A115,'Flt IIa'!E:E)/3.2808^2</f>
        <v>0</v>
      </c>
      <c r="U115" s="155">
        <f>SUMIF('OPC Des'!A:A,A115,'OPC Des'!F:F)/3.2808^2</f>
        <v>0</v>
      </c>
      <c r="V115" s="155">
        <f>SUMIF('LCS 5'!A:A,A115,'LCS 5'!E:E)</f>
        <v>0</v>
      </c>
      <c r="W115" s="155">
        <f>SUMIF('USCG Summary'!$A$25:$A$50,A115,'USCG Summary'!$F$25:$F$50)/3.2808^2</f>
        <v>0</v>
      </c>
      <c r="X115" s="155">
        <f>SUMIF('USCG Summary'!$A$25:$A$50,A115,'USCG Summary'!$I$25:$I$50)/3.2808^2</f>
        <v>0</v>
      </c>
      <c r="Y115" s="155">
        <f>SUMIF('USCG Summary'!$A$25:$A$50,A115,'USCG Summary'!$L$25:$L$50)/3.2808^2</f>
        <v>0</v>
      </c>
      <c r="Z115" s="155">
        <f>SUMIF('USCG Summary'!$A$25:$A$50,A115,'USCG Summary'!$O$25:$O$50)/3.2808^2</f>
        <v>0</v>
      </c>
      <c r="AA115" s="155">
        <f>SUMIF('USCG Summary'!$A$25:$A$50,A115,'USCG Summary'!$P$25:$P$50)/3.2808^2</f>
        <v>0</v>
      </c>
      <c r="AB115" s="155">
        <f>SUMIF('USCG Summary'!$A$25:$A$50,A115,'USCG Summary'!$Q$25:$Q$50)/3.2808^2</f>
        <v>0</v>
      </c>
      <c r="AC115" s="155">
        <f>SUMIF('USCG Summary'!$A$25:$A$50,A115,'USCG Summary'!$T$25:$T$50)/3.2808^2</f>
        <v>0</v>
      </c>
      <c r="AD115" s="155">
        <f>SUMIF('USCG Summary'!$A$25:$A$50,A115,'USCG Summary'!$W$25:$W$50)/3.2808^2</f>
        <v>0</v>
      </c>
      <c r="AE115" s="155">
        <f>SUMIF('USCG Summary'!$A$25:$A$50,A115,'USCG Summary'!$Z$25:$Z$50)/3.2808^2</f>
        <v>0</v>
      </c>
      <c r="AF115" s="155">
        <f>SUMIF(Comp!$A$75:$A$400,Areas!A115,Comp!$F$75:$F$400)</f>
        <v>0</v>
      </c>
      <c r="AG115" s="155">
        <f>SUMIF(Comp!$A$75:$A$400,Areas!A115,Comp!$G$75:$G$400)</f>
        <v>0</v>
      </c>
      <c r="AH115" s="155"/>
      <c r="AI115" s="155">
        <f>SUMIF('Flt III'!D:D,A115,'Flt III'!F:F)/3.2808^3</f>
        <v>52.6146203259459</v>
      </c>
      <c r="AK115" s="147">
        <f>AI115</f>
        <v>52.6146203259459</v>
      </c>
    </row>
    <row r="116" spans="1:37" s="134" customFormat="1">
      <c r="A116" s="140">
        <v>1.37</v>
      </c>
      <c r="B116" s="140" t="str">
        <f>Comp!B130</f>
        <v>AIRCRAFT ORDINANCE</v>
      </c>
      <c r="C116" s="149">
        <f>IF(S116=0,SUM(C117,C118,C119),S116)</f>
        <v>8.8260034470987705</v>
      </c>
      <c r="D116" s="149">
        <f>IF(T116=0,SUM(D117,D118,D119),T116)</f>
        <v>67.820868593495817</v>
      </c>
      <c r="E116" s="149">
        <f>IF(U116=0,SUM(E117,E118,E119),U116)</f>
        <v>0</v>
      </c>
      <c r="F116" s="149">
        <f>IF(V116=0,SUM(F117,F118,F119),V116)</f>
        <v>46.22</v>
      </c>
      <c r="G116" s="149"/>
      <c r="H116" s="149"/>
      <c r="I116" s="149"/>
      <c r="J116" s="149"/>
      <c r="K116" s="149"/>
      <c r="L116" s="149"/>
      <c r="M116" s="149"/>
      <c r="N116" s="149"/>
      <c r="O116" s="149"/>
      <c r="P116" s="149">
        <f t="shared" ref="P116:Q119" si="31">AF116</f>
        <v>179.9</v>
      </c>
      <c r="Q116" s="149">
        <f t="shared" si="31"/>
        <v>179.9</v>
      </c>
      <c r="S116" s="153">
        <f>SUMIF('Flt III'!D:D,A116,'Flt III'!E:E)/3.2808^2</f>
        <v>0</v>
      </c>
      <c r="T116" s="153">
        <f>SUMIF('Flt IIa'!A:A,A116,'Flt IIa'!E:E)/3.2808^2</f>
        <v>0</v>
      </c>
      <c r="U116" s="153">
        <f>SUMIF('OPC Des'!A:A,A116,'OPC Des'!F:F)/3.2808^2</f>
        <v>0</v>
      </c>
      <c r="V116" s="153">
        <f>SUMIF('LCS 5'!A:A,A116,'LCS 5'!E:E)</f>
        <v>46.22</v>
      </c>
      <c r="W116" s="153">
        <f>SUMIF('USCG Summary'!$A$25:$A$50,A116,'USCG Summary'!$F$25:$F$50)/3.2808^2</f>
        <v>0</v>
      </c>
      <c r="X116" s="153">
        <f>SUMIF('USCG Summary'!$A$25:$A$50,A116,'USCG Summary'!$I$25:$I$50)/3.2808^2</f>
        <v>0</v>
      </c>
      <c r="Y116" s="153">
        <f>SUMIF('USCG Summary'!$A$25:$A$50,A116,'USCG Summary'!$L$25:$L$50)/3.2808^2</f>
        <v>0</v>
      </c>
      <c r="Z116" s="153">
        <f>SUMIF('USCG Summary'!$A$25:$A$50,A116,'USCG Summary'!$O$25:$O$50)/3.2808^2</f>
        <v>0</v>
      </c>
      <c r="AA116" s="153">
        <f>SUMIF('USCG Summary'!$A$25:$A$50,A116,'USCG Summary'!$P$25:$P$50)/3.2808^2</f>
        <v>0</v>
      </c>
      <c r="AB116" s="153">
        <f>SUMIF('USCG Summary'!$A$25:$A$50,A116,'USCG Summary'!$Q$25:$Q$50)/3.2808^2</f>
        <v>0</v>
      </c>
      <c r="AC116" s="153">
        <f>SUMIF('USCG Summary'!$A$25:$A$50,A116,'USCG Summary'!$T$25:$T$50)/3.2808^2</f>
        <v>0</v>
      </c>
      <c r="AD116" s="153">
        <f>SUMIF('USCG Summary'!$A$25:$A$50,A116,'USCG Summary'!$W$25:$W$50)/3.2808^2</f>
        <v>0</v>
      </c>
      <c r="AE116" s="153">
        <f>SUMIF('USCG Summary'!$A$25:$A$50,A116,'USCG Summary'!$Z$25:$Z$50)/3.2808^2</f>
        <v>0</v>
      </c>
      <c r="AF116" s="153">
        <f>SUMIF(Comp!$A$75:$A$400,Areas!A116,Comp!$F$75:$F$400)</f>
        <v>179.9</v>
      </c>
      <c r="AG116" s="153">
        <f>SUMIF(Comp!$A$75:$A$400,Areas!A116,Comp!$G$75:$G$400)</f>
        <v>179.9</v>
      </c>
      <c r="AH116" s="153"/>
      <c r="AI116" s="153">
        <f>SUMIF('Flt III'!D:D,A116,'Flt III'!F:F)/3.2808^3</f>
        <v>0</v>
      </c>
      <c r="AK116" s="149">
        <f>IF(AI116=0,SUM(AK117,AK118,AK119),AI116)</f>
        <v>27.666568384525913</v>
      </c>
    </row>
    <row r="117" spans="1:37" s="132" customFormat="1">
      <c r="A117" s="142">
        <v>1.3720000000000001</v>
      </c>
      <c r="B117" s="142" t="str">
        <f>Comp!B131</f>
        <v>CONTROL</v>
      </c>
      <c r="C117" s="143">
        <f t="shared" ref="C117:F118" si="32">S117:S118</f>
        <v>0</v>
      </c>
      <c r="D117" s="143">
        <f t="shared" si="32"/>
        <v>0</v>
      </c>
      <c r="E117" s="143">
        <f t="shared" si="32"/>
        <v>0</v>
      </c>
      <c r="F117" s="143">
        <f t="shared" si="32"/>
        <v>0</v>
      </c>
      <c r="G117" s="143"/>
      <c r="H117" s="143"/>
      <c r="I117" s="143"/>
      <c r="J117" s="143"/>
      <c r="K117" s="143"/>
      <c r="L117" s="143"/>
      <c r="M117" s="143"/>
      <c r="N117" s="143"/>
      <c r="O117" s="143"/>
      <c r="P117" s="143">
        <f t="shared" si="31"/>
        <v>0</v>
      </c>
      <c r="Q117" s="143">
        <f t="shared" si="31"/>
        <v>0</v>
      </c>
      <c r="S117" s="154">
        <f>SUMIF('Flt III'!D:D,A117,'Flt III'!E:E)/3.2808^2</f>
        <v>0</v>
      </c>
      <c r="T117" s="154">
        <f>SUMIF('Flt IIa'!A:A,A117,'Flt IIa'!E:E)/3.2808^2</f>
        <v>0</v>
      </c>
      <c r="U117" s="154">
        <f>SUMIF('OPC Des'!A:A,A117,'OPC Des'!F:F)/3.2808^2</f>
        <v>0</v>
      </c>
      <c r="V117" s="154">
        <f>SUMIF('LCS 5'!A:A,A117,'LCS 5'!E:E)</f>
        <v>0</v>
      </c>
      <c r="W117" s="154">
        <f>SUMIF('USCG Summary'!$A$25:$A$50,A117,'USCG Summary'!$F$25:$F$50)/3.2808^2</f>
        <v>0</v>
      </c>
      <c r="X117" s="154">
        <f>SUMIF('USCG Summary'!$A$25:$A$50,A117,'USCG Summary'!$I$25:$I$50)/3.2808^2</f>
        <v>0</v>
      </c>
      <c r="Y117" s="154">
        <f>SUMIF('USCG Summary'!$A$25:$A$50,A117,'USCG Summary'!$L$25:$L$50)/3.2808^2</f>
        <v>0</v>
      </c>
      <c r="Z117" s="154">
        <f>SUMIF('USCG Summary'!$A$25:$A$50,A117,'USCG Summary'!$O$25:$O$50)/3.2808^2</f>
        <v>0</v>
      </c>
      <c r="AA117" s="154">
        <f>SUMIF('USCG Summary'!$A$25:$A$50,A117,'USCG Summary'!$P$25:$P$50)/3.2808^2</f>
        <v>0</v>
      </c>
      <c r="AB117" s="154">
        <f>SUMIF('USCG Summary'!$A$25:$A$50,A117,'USCG Summary'!$Q$25:$Q$50)/3.2808^2</f>
        <v>0</v>
      </c>
      <c r="AC117" s="154">
        <f>SUMIF('USCG Summary'!$A$25:$A$50,A117,'USCG Summary'!$T$25:$T$50)/3.2808^2</f>
        <v>0</v>
      </c>
      <c r="AD117" s="154">
        <f>SUMIF('USCG Summary'!$A$25:$A$50,A117,'USCG Summary'!$W$25:$W$50)/3.2808^2</f>
        <v>0</v>
      </c>
      <c r="AE117" s="154">
        <f>SUMIF('USCG Summary'!$A$25:$A$50,A117,'USCG Summary'!$Z$25:$Z$50)/3.2808^2</f>
        <v>0</v>
      </c>
      <c r="AF117" s="154">
        <f>SUMIF(Comp!$A$75:$A$400,Areas!A117,Comp!$F$75:$F$400)</f>
        <v>0</v>
      </c>
      <c r="AG117" s="154">
        <f>SUMIF(Comp!$A$75:$A$400,Areas!A117,Comp!$G$75:$G$400)</f>
        <v>0</v>
      </c>
      <c r="AH117" s="154"/>
      <c r="AI117" s="154">
        <f>SUMIF('Flt III'!D:D,A117,'Flt III'!F:F)/3.2808^3</f>
        <v>0</v>
      </c>
      <c r="AK117" s="143">
        <f>AI117:AI118</f>
        <v>0</v>
      </c>
    </row>
    <row r="118" spans="1:37" s="132" customFormat="1">
      <c r="A118" s="142">
        <v>1.373</v>
      </c>
      <c r="B118" s="142" t="str">
        <f>Comp!B132</f>
        <v>HANDLING</v>
      </c>
      <c r="C118" s="143">
        <f t="shared" si="32"/>
        <v>0</v>
      </c>
      <c r="D118" s="143">
        <f t="shared" si="32"/>
        <v>0</v>
      </c>
      <c r="E118" s="143">
        <f t="shared" si="32"/>
        <v>0</v>
      </c>
      <c r="F118" s="143">
        <f t="shared" si="32"/>
        <v>0</v>
      </c>
      <c r="G118" s="143"/>
      <c r="H118" s="143"/>
      <c r="I118" s="143"/>
      <c r="J118" s="143"/>
      <c r="K118" s="143"/>
      <c r="L118" s="143"/>
      <c r="M118" s="143"/>
      <c r="N118" s="143"/>
      <c r="O118" s="143"/>
      <c r="P118" s="143">
        <f t="shared" si="31"/>
        <v>0</v>
      </c>
      <c r="Q118" s="143">
        <f t="shared" si="31"/>
        <v>0</v>
      </c>
      <c r="S118" s="154">
        <f>SUMIF('Flt III'!D:D,A118,'Flt III'!E:E)/3.2808^2</f>
        <v>0</v>
      </c>
      <c r="T118" s="154">
        <f>SUMIF('Flt IIa'!A:A,A118,'Flt IIa'!E:E)/3.2808^2</f>
        <v>0</v>
      </c>
      <c r="U118" s="154">
        <f>SUMIF('OPC Des'!A:A,A118,'OPC Des'!F:F)/3.2808^2</f>
        <v>0</v>
      </c>
      <c r="V118" s="154">
        <f>SUMIF('LCS 5'!A:A,A118,'LCS 5'!E:E)</f>
        <v>0</v>
      </c>
      <c r="W118" s="154">
        <f>SUMIF('USCG Summary'!$A$25:$A$50,A118,'USCG Summary'!$F$25:$F$50)/3.2808^2</f>
        <v>0</v>
      </c>
      <c r="X118" s="154">
        <f>SUMIF('USCG Summary'!$A$25:$A$50,A118,'USCG Summary'!$I$25:$I$50)/3.2808^2</f>
        <v>0</v>
      </c>
      <c r="Y118" s="154">
        <f>SUMIF('USCG Summary'!$A$25:$A$50,A118,'USCG Summary'!$L$25:$L$50)/3.2808^2</f>
        <v>0</v>
      </c>
      <c r="Z118" s="154">
        <f>SUMIF('USCG Summary'!$A$25:$A$50,A118,'USCG Summary'!$O$25:$O$50)/3.2808^2</f>
        <v>0</v>
      </c>
      <c r="AA118" s="154">
        <f>SUMIF('USCG Summary'!$A$25:$A$50,A118,'USCG Summary'!$P$25:$P$50)/3.2808^2</f>
        <v>0</v>
      </c>
      <c r="AB118" s="154">
        <f>SUMIF('USCG Summary'!$A$25:$A$50,A118,'USCG Summary'!$Q$25:$Q$50)/3.2808^2</f>
        <v>0</v>
      </c>
      <c r="AC118" s="154">
        <f>SUMIF('USCG Summary'!$A$25:$A$50,A118,'USCG Summary'!$T$25:$T$50)/3.2808^2</f>
        <v>0</v>
      </c>
      <c r="AD118" s="154">
        <f>SUMIF('USCG Summary'!$A$25:$A$50,A118,'USCG Summary'!$W$25:$W$50)/3.2808^2</f>
        <v>0</v>
      </c>
      <c r="AE118" s="154">
        <f>SUMIF('USCG Summary'!$A$25:$A$50,A118,'USCG Summary'!$Z$25:$Z$50)/3.2808^2</f>
        <v>0</v>
      </c>
      <c r="AF118" s="154">
        <f>SUMIF(Comp!$A$75:$A$400,Areas!A118,Comp!$F$75:$F$400)</f>
        <v>0</v>
      </c>
      <c r="AG118" s="154">
        <f>SUMIF(Comp!$A$75:$A$400,Areas!A118,Comp!$G$75:$G$400)</f>
        <v>0</v>
      </c>
      <c r="AH118" s="154"/>
      <c r="AI118" s="154">
        <f>SUMIF('Flt III'!D:D,A118,'Flt III'!F:F)/3.2808^3</f>
        <v>0</v>
      </c>
      <c r="AK118" s="143">
        <f>AI118:AI119</f>
        <v>0</v>
      </c>
    </row>
    <row r="119" spans="1:37" s="132" customFormat="1">
      <c r="A119" s="142">
        <v>1.3740000000000001</v>
      </c>
      <c r="B119" s="142" t="str">
        <f>Comp!B133</f>
        <v>STOWAGE</v>
      </c>
      <c r="C119" s="143">
        <f>SUM(C120)</f>
        <v>8.8260034470987705</v>
      </c>
      <c r="D119" s="143">
        <f t="shared" ref="D119:F120" si="33">T119</f>
        <v>67.820868593495817</v>
      </c>
      <c r="E119" s="143">
        <f t="shared" si="33"/>
        <v>0</v>
      </c>
      <c r="F119" s="143">
        <f t="shared" si="33"/>
        <v>0</v>
      </c>
      <c r="G119" s="143"/>
      <c r="H119" s="143"/>
      <c r="I119" s="143"/>
      <c r="J119" s="143"/>
      <c r="K119" s="143"/>
      <c r="L119" s="143"/>
      <c r="M119" s="143"/>
      <c r="N119" s="143"/>
      <c r="O119" s="143"/>
      <c r="P119" s="143">
        <f t="shared" si="31"/>
        <v>179.9</v>
      </c>
      <c r="Q119" s="143">
        <f t="shared" si="31"/>
        <v>179.9</v>
      </c>
      <c r="S119" s="154">
        <f>SUMIF('Flt III'!D:D,A119,'Flt III'!E:E)/3.2808^2</f>
        <v>0</v>
      </c>
      <c r="T119" s="154">
        <f>SUMIF('Flt IIa'!A:A,A119,'Flt IIa'!E:E)/3.2808^2</f>
        <v>67.820868593495817</v>
      </c>
      <c r="U119" s="154">
        <f>SUMIF('OPC Des'!A:A,A119,'OPC Des'!F:F)/3.2808^2</f>
        <v>0</v>
      </c>
      <c r="V119" s="154">
        <f>SUMIF('LCS 5'!A:A,A119,'LCS 5'!E:E)</f>
        <v>0</v>
      </c>
      <c r="W119" s="154">
        <f>SUMIF('USCG Summary'!$A$25:$A$50,A119,'USCG Summary'!$F$25:$F$50)/3.2808^2</f>
        <v>0</v>
      </c>
      <c r="X119" s="154">
        <f>SUMIF('USCG Summary'!$A$25:$A$50,A119,'USCG Summary'!$I$25:$I$50)/3.2808^2</f>
        <v>0</v>
      </c>
      <c r="Y119" s="154">
        <f>SUMIF('USCG Summary'!$A$25:$A$50,A119,'USCG Summary'!$L$25:$L$50)/3.2808^2</f>
        <v>0</v>
      </c>
      <c r="Z119" s="154">
        <f>SUMIF('USCG Summary'!$A$25:$A$50,A119,'USCG Summary'!$O$25:$O$50)/3.2808^2</f>
        <v>0</v>
      </c>
      <c r="AA119" s="154">
        <f>SUMIF('USCG Summary'!$A$25:$A$50,A119,'USCG Summary'!$P$25:$P$50)/3.2808^2</f>
        <v>0</v>
      </c>
      <c r="AB119" s="154">
        <f>SUMIF('USCG Summary'!$A$25:$A$50,A119,'USCG Summary'!$Q$25:$Q$50)/3.2808^2</f>
        <v>0</v>
      </c>
      <c r="AC119" s="154">
        <f>SUMIF('USCG Summary'!$A$25:$A$50,A119,'USCG Summary'!$T$25:$T$50)/3.2808^2</f>
        <v>0</v>
      </c>
      <c r="AD119" s="154">
        <f>SUMIF('USCG Summary'!$A$25:$A$50,A119,'USCG Summary'!$W$25:$W$50)/3.2808^2</f>
        <v>0</v>
      </c>
      <c r="AE119" s="154">
        <f>SUMIF('USCG Summary'!$A$25:$A$50,A119,'USCG Summary'!$Z$25:$Z$50)/3.2808^2</f>
        <v>0</v>
      </c>
      <c r="AF119" s="154">
        <f>SUMIF(Comp!$A$75:$A$400,Areas!A119,Comp!$F$75:$F$400)</f>
        <v>179.9</v>
      </c>
      <c r="AG119" s="154">
        <f>SUMIF(Comp!$A$75:$A$400,Areas!A119,Comp!$G$75:$G$400)</f>
        <v>179.9</v>
      </c>
      <c r="AH119" s="154"/>
      <c r="AI119" s="154">
        <f>SUMIF('Flt III'!D:D,A119,'Flt III'!F:F)/3.2808^3</f>
        <v>0</v>
      </c>
      <c r="AK119" s="143">
        <f>SUM(AK120)</f>
        <v>27.666568384525913</v>
      </c>
    </row>
    <row r="120" spans="1:37" s="148" customFormat="1">
      <c r="A120" s="146" t="s">
        <v>1255</v>
      </c>
      <c r="B120" s="146"/>
      <c r="C120" s="147">
        <f>S120</f>
        <v>8.8260034470987705</v>
      </c>
      <c r="D120" s="147">
        <f t="shared" si="33"/>
        <v>0</v>
      </c>
      <c r="E120" s="147">
        <f t="shared" si="33"/>
        <v>0</v>
      </c>
      <c r="F120" s="147">
        <f t="shared" si="33"/>
        <v>0</v>
      </c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S120" s="155">
        <f>SUMIF('Flt III'!D:D,A120,'Flt III'!E:E)/3.2808^2</f>
        <v>8.8260034470987705</v>
      </c>
      <c r="T120" s="155">
        <f>SUMIF('Flt IIa'!A:A,A120,'Flt IIa'!E:E)/3.2808^2</f>
        <v>0</v>
      </c>
      <c r="U120" s="155">
        <f>SUMIF('OPC Des'!A:A,A120,'OPC Des'!F:F)/3.2808^2</f>
        <v>0</v>
      </c>
      <c r="V120" s="155">
        <f>SUMIF('LCS 5'!A:A,A120,'LCS 5'!E:E)</f>
        <v>0</v>
      </c>
      <c r="W120" s="155">
        <f>SUMIF('USCG Summary'!$A$25:$A$50,A120,'USCG Summary'!$F$25:$F$50)/3.2808^2</f>
        <v>0</v>
      </c>
      <c r="X120" s="155">
        <f>SUMIF('USCG Summary'!$A$25:$A$50,A120,'USCG Summary'!$I$25:$I$50)/3.2808^2</f>
        <v>0</v>
      </c>
      <c r="Y120" s="155">
        <f>SUMIF('USCG Summary'!$A$25:$A$50,A120,'USCG Summary'!$L$25:$L$50)/3.2808^2</f>
        <v>0</v>
      </c>
      <c r="Z120" s="155">
        <f>SUMIF('USCG Summary'!$A$25:$A$50,A120,'USCG Summary'!$O$25:$O$50)/3.2808^2</f>
        <v>0</v>
      </c>
      <c r="AA120" s="155">
        <f>SUMIF('USCG Summary'!$A$25:$A$50,A120,'USCG Summary'!$P$25:$P$50)/3.2808^2</f>
        <v>0</v>
      </c>
      <c r="AB120" s="155">
        <f>SUMIF('USCG Summary'!$A$25:$A$50,A120,'USCG Summary'!$Q$25:$Q$50)/3.2808^2</f>
        <v>0</v>
      </c>
      <c r="AC120" s="155">
        <f>SUMIF('USCG Summary'!$A$25:$A$50,A120,'USCG Summary'!$T$25:$T$50)/3.2808^2</f>
        <v>0</v>
      </c>
      <c r="AD120" s="155">
        <f>SUMIF('USCG Summary'!$A$25:$A$50,A120,'USCG Summary'!$W$25:$W$50)/3.2808^2</f>
        <v>0</v>
      </c>
      <c r="AE120" s="155">
        <f>SUMIF('USCG Summary'!$A$25:$A$50,A120,'USCG Summary'!$Z$25:$Z$50)/3.2808^2</f>
        <v>0</v>
      </c>
      <c r="AF120" s="155">
        <f>SUMIF(Comp!$A$75:$A$400,Areas!A120,Comp!$F$75:$F$400)</f>
        <v>0</v>
      </c>
      <c r="AG120" s="155">
        <f>SUMIF(Comp!$A$75:$A$400,Areas!A120,Comp!$G$75:$G$400)</f>
        <v>0</v>
      </c>
      <c r="AH120" s="155"/>
      <c r="AI120" s="155">
        <f>SUMIF('Flt III'!D:D,A120,'Flt III'!F:F)/3.2808^3</f>
        <v>27.666568384525913</v>
      </c>
      <c r="AK120" s="147">
        <f>AI120</f>
        <v>27.666568384525913</v>
      </c>
    </row>
    <row r="121" spans="1:37" s="134" customFormat="1">
      <c r="A121" s="140">
        <v>1.38</v>
      </c>
      <c r="B121" s="140" t="str">
        <f>Comp!B134</f>
        <v>AVIATION FUEL SYS</v>
      </c>
      <c r="C121" s="149">
        <f>IF(S121=0,SUM(C122,C123,C124),S121)</f>
        <v>20.903692374707614</v>
      </c>
      <c r="D121" s="149">
        <f>IF(T121=0,SUM(D122,D123,D124),T121)</f>
        <v>8.6401928482124806</v>
      </c>
      <c r="E121" s="149">
        <f>IF(U121=0,SUM(E122,E123,E124),U121)</f>
        <v>0</v>
      </c>
      <c r="F121" s="149">
        <f>IF(V121=0,SUM(F122,F123,F124),V121)</f>
        <v>0</v>
      </c>
      <c r="G121" s="149"/>
      <c r="H121" s="149"/>
      <c r="I121" s="149"/>
      <c r="J121" s="149"/>
      <c r="K121" s="149"/>
      <c r="L121" s="149"/>
      <c r="M121" s="149"/>
      <c r="N121" s="149"/>
      <c r="O121" s="149"/>
      <c r="P121" s="149">
        <f t="shared" ref="P121:Q123" si="34">AF121</f>
        <v>0</v>
      </c>
      <c r="Q121" s="149">
        <f t="shared" si="34"/>
        <v>0</v>
      </c>
      <c r="S121" s="153">
        <f>SUMIF('Flt III'!D:D,A121,'Flt III'!E:E)/3.2808^2</f>
        <v>0</v>
      </c>
      <c r="T121" s="153">
        <f>SUMIF('Flt IIa'!A:A,A121,'Flt IIa'!E:E)/3.2808^2</f>
        <v>0</v>
      </c>
      <c r="U121" s="153">
        <f>SUMIF('OPC Des'!A:A,A121,'OPC Des'!F:F)/3.2808^2</f>
        <v>0</v>
      </c>
      <c r="V121" s="153">
        <f>SUMIF('LCS 5'!A:A,A121,'LCS 5'!E:E)</f>
        <v>0</v>
      </c>
      <c r="W121" s="153">
        <f>SUMIF('USCG Summary'!$A$25:$A$50,A121,'USCG Summary'!$F$25:$F$50)/3.2808^2</f>
        <v>0</v>
      </c>
      <c r="X121" s="153">
        <f>SUMIF('USCG Summary'!$A$25:$A$50,A121,'USCG Summary'!$I$25:$I$50)/3.2808^2</f>
        <v>0</v>
      </c>
      <c r="Y121" s="153">
        <f>SUMIF('USCG Summary'!$A$25:$A$50,A121,'USCG Summary'!$L$25:$L$50)/3.2808^2</f>
        <v>0</v>
      </c>
      <c r="Z121" s="153">
        <f>SUMIF('USCG Summary'!$A$25:$A$50,A121,'USCG Summary'!$O$25:$O$50)/3.2808^2</f>
        <v>0</v>
      </c>
      <c r="AA121" s="153">
        <f>SUMIF('USCG Summary'!$A$25:$A$50,A121,'USCG Summary'!$P$25:$P$50)/3.2808^2</f>
        <v>0</v>
      </c>
      <c r="AB121" s="153">
        <f>SUMIF('USCG Summary'!$A$25:$A$50,A121,'USCG Summary'!$Q$25:$Q$50)/3.2808^2</f>
        <v>0</v>
      </c>
      <c r="AC121" s="153">
        <f>SUMIF('USCG Summary'!$A$25:$A$50,A121,'USCG Summary'!$T$25:$T$50)/3.2808^2</f>
        <v>0</v>
      </c>
      <c r="AD121" s="153">
        <f>SUMIF('USCG Summary'!$A$25:$A$50,A121,'USCG Summary'!$W$25:$W$50)/3.2808^2</f>
        <v>0</v>
      </c>
      <c r="AE121" s="153">
        <f>SUMIF('USCG Summary'!$A$25:$A$50,A121,'USCG Summary'!$Z$25:$Z$50)/3.2808^2</f>
        <v>0</v>
      </c>
      <c r="AF121" s="153">
        <f>SUMIF(Comp!$A$75:$A$400,Areas!A121,Comp!$F$75:$F$400)</f>
        <v>0</v>
      </c>
      <c r="AG121" s="153">
        <f>SUMIF(Comp!$A$75:$A$400,Areas!A121,Comp!$G$75:$G$400)</f>
        <v>0</v>
      </c>
      <c r="AH121" s="153"/>
      <c r="AI121" s="153">
        <f>SUMIF('Flt III'!D:D,A121,'Flt III'!F:F)/3.2808^3</f>
        <v>0</v>
      </c>
      <c r="AK121" s="149">
        <f>IF(AI121=0,SUM(AK122,AK123,AK124),AI121)</f>
        <v>89.994221418652344</v>
      </c>
    </row>
    <row r="122" spans="1:37" s="132" customFormat="1">
      <c r="A122" s="142">
        <v>1.381</v>
      </c>
      <c r="B122" s="142" t="str">
        <f>Comp!B135</f>
        <v>JP-5 SYSTEM</v>
      </c>
      <c r="C122" s="143">
        <f>SUM(C123,C125,C126)</f>
        <v>6.9678974582358713</v>
      </c>
      <c r="D122" s="143">
        <f>T122</f>
        <v>8.6401928482124806</v>
      </c>
      <c r="E122" s="143">
        <f>U122</f>
        <v>0</v>
      </c>
      <c r="F122" s="143">
        <f>V122</f>
        <v>0</v>
      </c>
      <c r="G122" s="143"/>
      <c r="H122" s="143"/>
      <c r="I122" s="143"/>
      <c r="J122" s="143"/>
      <c r="K122" s="143"/>
      <c r="L122" s="143"/>
      <c r="M122" s="143"/>
      <c r="N122" s="143"/>
      <c r="O122" s="143"/>
      <c r="P122" s="143">
        <f t="shared" si="34"/>
        <v>0</v>
      </c>
      <c r="Q122" s="143">
        <f t="shared" si="34"/>
        <v>0</v>
      </c>
      <c r="S122" s="154">
        <f>SUMIF('Flt III'!D:D,A122,'Flt III'!E:E)/3.2808^2</f>
        <v>0</v>
      </c>
      <c r="T122" s="154">
        <f>SUMIF('Flt IIa'!A:A,A122,'Flt IIa'!E:E)/3.2808^2</f>
        <v>8.6401928482124806</v>
      </c>
      <c r="U122" s="154">
        <f>SUMIF('OPC Des'!A:A,A122,'OPC Des'!F:F)/3.2808^2</f>
        <v>0</v>
      </c>
      <c r="V122" s="154">
        <f>SUMIF('LCS 5'!A:A,A122,'LCS 5'!E:E)</f>
        <v>0</v>
      </c>
      <c r="W122" s="154">
        <f>SUMIF('USCG Summary'!$A$25:$A$50,A122,'USCG Summary'!$F$25:$F$50)/3.2808^2</f>
        <v>0</v>
      </c>
      <c r="X122" s="154">
        <f>SUMIF('USCG Summary'!$A$25:$A$50,A122,'USCG Summary'!$I$25:$I$50)/3.2808^2</f>
        <v>0</v>
      </c>
      <c r="Y122" s="154">
        <f>SUMIF('USCG Summary'!$A$25:$A$50,A122,'USCG Summary'!$L$25:$L$50)/3.2808^2</f>
        <v>0</v>
      </c>
      <c r="Z122" s="154">
        <f>SUMIF('USCG Summary'!$A$25:$A$50,A122,'USCG Summary'!$O$25:$O$50)/3.2808^2</f>
        <v>0</v>
      </c>
      <c r="AA122" s="154">
        <f>SUMIF('USCG Summary'!$A$25:$A$50,A122,'USCG Summary'!$P$25:$P$50)/3.2808^2</f>
        <v>0</v>
      </c>
      <c r="AB122" s="154">
        <f>SUMIF('USCG Summary'!$A$25:$A$50,A122,'USCG Summary'!$Q$25:$Q$50)/3.2808^2</f>
        <v>0</v>
      </c>
      <c r="AC122" s="154">
        <f>SUMIF('USCG Summary'!$A$25:$A$50,A122,'USCG Summary'!$T$25:$T$50)/3.2808^2</f>
        <v>0</v>
      </c>
      <c r="AD122" s="154">
        <f>SUMIF('USCG Summary'!$A$25:$A$50,A122,'USCG Summary'!$W$25:$W$50)/3.2808^2</f>
        <v>0</v>
      </c>
      <c r="AE122" s="154">
        <f>SUMIF('USCG Summary'!$A$25:$A$50,A122,'USCG Summary'!$Z$25:$Z$50)/3.2808^2</f>
        <v>0</v>
      </c>
      <c r="AF122" s="154">
        <f>SUMIF(Comp!$A$75:$A$400,Areas!A122,Comp!$F$75:$F$400)</f>
        <v>0</v>
      </c>
      <c r="AG122" s="154">
        <f>SUMIF(Comp!$A$75:$A$400,Areas!A122,Comp!$G$75:$G$400)</f>
        <v>0</v>
      </c>
      <c r="AH122" s="154"/>
      <c r="AI122" s="154">
        <f>SUMIF('Flt III'!D:D,A122,'Flt III'!F:F)/3.2808^3</f>
        <v>0</v>
      </c>
      <c r="AK122" s="143">
        <f>SUM(AK123,AK125,AK126)</f>
        <v>57.598567138306763</v>
      </c>
    </row>
    <row r="123" spans="1:37" s="141" customFormat="1">
      <c r="A123" s="144">
        <v>1.3811</v>
      </c>
      <c r="B123" s="144" t="str">
        <f>Comp!B136</f>
        <v>JP-5 TRANSFER</v>
      </c>
      <c r="C123" s="145">
        <f>SUM(C124)+S123</f>
        <v>6.9678974582358713</v>
      </c>
      <c r="D123" s="145">
        <f>SUM(D124)+T123</f>
        <v>0</v>
      </c>
      <c r="E123" s="145">
        <f>SUM(E124)+U123</f>
        <v>0</v>
      </c>
      <c r="F123" s="145">
        <f>SUM(F124)+V123</f>
        <v>0</v>
      </c>
      <c r="G123" s="145"/>
      <c r="H123" s="145"/>
      <c r="I123" s="145"/>
      <c r="J123" s="145"/>
      <c r="K123" s="145"/>
      <c r="L123" s="145"/>
      <c r="M123" s="145"/>
      <c r="N123" s="145"/>
      <c r="O123" s="145"/>
      <c r="P123" s="145">
        <f t="shared" si="34"/>
        <v>0</v>
      </c>
      <c r="Q123" s="145">
        <f t="shared" si="34"/>
        <v>0</v>
      </c>
      <c r="S123" s="156">
        <f>SUMIF('Flt III'!D:D,A123,'Flt III'!E:E)/3.2808^2</f>
        <v>0</v>
      </c>
      <c r="T123" s="156">
        <f>SUMIF('Flt IIa'!A:A,A123,'Flt IIa'!E:E)/3.2808^2</f>
        <v>0</v>
      </c>
      <c r="U123" s="156">
        <f>SUMIF('OPC Des'!A:A,A123,'OPC Des'!F:F)/3.2808^2</f>
        <v>0</v>
      </c>
      <c r="V123" s="156">
        <f>SUMIF('LCS 5'!A:A,A123,'LCS 5'!E:E)</f>
        <v>0</v>
      </c>
      <c r="W123" s="156">
        <f>SUMIF('USCG Summary'!$A$25:$A$50,A123,'USCG Summary'!$F$25:$F$50)/3.2808^2</f>
        <v>0</v>
      </c>
      <c r="X123" s="156">
        <f>SUMIF('USCG Summary'!$A$25:$A$50,A123,'USCG Summary'!$I$25:$I$50)/3.2808^2</f>
        <v>0</v>
      </c>
      <c r="Y123" s="156">
        <f>SUMIF('USCG Summary'!$A$25:$A$50,A123,'USCG Summary'!$L$25:$L$50)/3.2808^2</f>
        <v>0</v>
      </c>
      <c r="Z123" s="156">
        <f>SUMIF('USCG Summary'!$A$25:$A$50,A123,'USCG Summary'!$O$25:$O$50)/3.2808^2</f>
        <v>0</v>
      </c>
      <c r="AA123" s="156">
        <f>SUMIF('USCG Summary'!$A$25:$A$50,A123,'USCG Summary'!$P$25:$P$50)/3.2808^2</f>
        <v>0</v>
      </c>
      <c r="AB123" s="156">
        <f>SUMIF('USCG Summary'!$A$25:$A$50,A123,'USCG Summary'!$Q$25:$Q$50)/3.2808^2</f>
        <v>0</v>
      </c>
      <c r="AC123" s="156">
        <f>SUMIF('USCG Summary'!$A$25:$A$50,A123,'USCG Summary'!$T$25:$T$50)/3.2808^2</f>
        <v>0</v>
      </c>
      <c r="AD123" s="156">
        <f>SUMIF('USCG Summary'!$A$25:$A$50,A123,'USCG Summary'!$W$25:$W$50)/3.2808^2</f>
        <v>0</v>
      </c>
      <c r="AE123" s="156">
        <f>SUMIF('USCG Summary'!$A$25:$A$50,A123,'USCG Summary'!$Z$25:$Z$50)/3.2808^2</f>
        <v>0</v>
      </c>
      <c r="AF123" s="156">
        <f>SUMIF(Comp!$A$75:$A$400,Areas!A123,Comp!$F$75:$F$400)</f>
        <v>0</v>
      </c>
      <c r="AG123" s="156">
        <f>SUMIF(Comp!$A$75:$A$400,Areas!A123,Comp!$G$75:$G$400)</f>
        <v>0</v>
      </c>
      <c r="AH123" s="156"/>
      <c r="AI123" s="156">
        <f>SUMIF('Flt III'!D:D,A123,'Flt III'!F:F)/3.2808^3</f>
        <v>0</v>
      </c>
      <c r="AK123" s="145">
        <f>SUM(AK124)+AI123</f>
        <v>16.197827140172794</v>
      </c>
    </row>
    <row r="124" spans="1:37" s="148" customFormat="1">
      <c r="A124" s="146" t="s">
        <v>1252</v>
      </c>
      <c r="B124" s="146"/>
      <c r="C124" s="147">
        <f t="shared" ref="C124:F125" si="35">S124</f>
        <v>6.9678974582358713</v>
      </c>
      <c r="D124" s="147">
        <f t="shared" si="35"/>
        <v>0</v>
      </c>
      <c r="E124" s="147">
        <f t="shared" si="35"/>
        <v>0</v>
      </c>
      <c r="F124" s="147">
        <f t="shared" si="35"/>
        <v>0</v>
      </c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S124" s="155">
        <f>SUMIF('Flt III'!D:D,A124,'Flt III'!E:E)/3.2808^2</f>
        <v>6.9678974582358713</v>
      </c>
      <c r="T124" s="155">
        <f>SUMIF('Flt IIa'!A:A,A124,'Flt IIa'!E:E)/3.2808^2</f>
        <v>0</v>
      </c>
      <c r="U124" s="155">
        <f>SUMIF('OPC Des'!A:A,A124,'OPC Des'!F:F)/3.2808^2</f>
        <v>0</v>
      </c>
      <c r="V124" s="155">
        <f>SUMIF('LCS 5'!A:A,A124,'LCS 5'!E:E)</f>
        <v>0</v>
      </c>
      <c r="W124" s="155">
        <f>SUMIF('USCG Summary'!$A$25:$A$50,A124,'USCG Summary'!$F$25:$F$50)/3.2808^2</f>
        <v>0</v>
      </c>
      <c r="X124" s="155">
        <f>SUMIF('USCG Summary'!$A$25:$A$50,A124,'USCG Summary'!$I$25:$I$50)/3.2808^2</f>
        <v>0</v>
      </c>
      <c r="Y124" s="155">
        <f>SUMIF('USCG Summary'!$A$25:$A$50,A124,'USCG Summary'!$L$25:$L$50)/3.2808^2</f>
        <v>0</v>
      </c>
      <c r="Z124" s="155">
        <f>SUMIF('USCG Summary'!$A$25:$A$50,A124,'USCG Summary'!$O$25:$O$50)/3.2808^2</f>
        <v>0</v>
      </c>
      <c r="AA124" s="155">
        <f>SUMIF('USCG Summary'!$A$25:$A$50,A124,'USCG Summary'!$P$25:$P$50)/3.2808^2</f>
        <v>0</v>
      </c>
      <c r="AB124" s="155">
        <f>SUMIF('USCG Summary'!$A$25:$A$50,A124,'USCG Summary'!$Q$25:$Q$50)/3.2808^2</f>
        <v>0</v>
      </c>
      <c r="AC124" s="155">
        <f>SUMIF('USCG Summary'!$A$25:$A$50,A124,'USCG Summary'!$T$25:$T$50)/3.2808^2</f>
        <v>0</v>
      </c>
      <c r="AD124" s="155">
        <f>SUMIF('USCG Summary'!$A$25:$A$50,A124,'USCG Summary'!$W$25:$W$50)/3.2808^2</f>
        <v>0</v>
      </c>
      <c r="AE124" s="155">
        <f>SUMIF('USCG Summary'!$A$25:$A$50,A124,'USCG Summary'!$Z$25:$Z$50)/3.2808^2</f>
        <v>0</v>
      </c>
      <c r="AF124" s="155">
        <f>SUMIF(Comp!$A$75:$A$400,Areas!A124,Comp!$F$75:$F$400)</f>
        <v>0</v>
      </c>
      <c r="AG124" s="155">
        <f>SUMIF(Comp!$A$75:$A$400,Areas!A124,Comp!$G$75:$G$400)</f>
        <v>0</v>
      </c>
      <c r="AH124" s="155"/>
      <c r="AI124" s="155">
        <f>SUMIF('Flt III'!D:D,A124,'Flt III'!F:F)/3.2808^3</f>
        <v>16.197827140172794</v>
      </c>
      <c r="AK124" s="147">
        <f>AI124</f>
        <v>16.197827140172794</v>
      </c>
    </row>
    <row r="125" spans="1:37" s="141" customFormat="1">
      <c r="A125" s="144">
        <v>1.3812</v>
      </c>
      <c r="B125" s="144" t="str">
        <f>Comp!B137</f>
        <v>JP-5 HANDLING</v>
      </c>
      <c r="C125" s="145">
        <f t="shared" si="35"/>
        <v>0</v>
      </c>
      <c r="D125" s="145">
        <f t="shared" si="35"/>
        <v>0</v>
      </c>
      <c r="E125" s="145">
        <f t="shared" si="35"/>
        <v>0</v>
      </c>
      <c r="F125" s="145">
        <f t="shared" si="35"/>
        <v>0</v>
      </c>
      <c r="G125" s="145"/>
      <c r="H125" s="145"/>
      <c r="I125" s="145"/>
      <c r="J125" s="145"/>
      <c r="K125" s="145"/>
      <c r="L125" s="145"/>
      <c r="M125" s="145"/>
      <c r="N125" s="145"/>
      <c r="O125" s="145"/>
      <c r="P125" s="145">
        <f>AF125</f>
        <v>0</v>
      </c>
      <c r="Q125" s="145">
        <f>AG125</f>
        <v>0</v>
      </c>
      <c r="S125" s="156">
        <f>SUMIF('Flt III'!D:D,A125,'Flt III'!E:E)/3.2808^2</f>
        <v>0</v>
      </c>
      <c r="T125" s="156">
        <f>SUMIF('Flt IIa'!A:A,A125,'Flt IIa'!E:E)/3.2808^2</f>
        <v>0</v>
      </c>
      <c r="U125" s="156">
        <f>SUMIF('OPC Des'!A:A,A125,'OPC Des'!F:F)/3.2808^2</f>
        <v>0</v>
      </c>
      <c r="V125" s="156">
        <f>SUMIF('LCS 5'!A:A,A125,'LCS 5'!E:E)</f>
        <v>0</v>
      </c>
      <c r="W125" s="156">
        <f>SUMIF('USCG Summary'!$A$25:$A$50,A125,'USCG Summary'!$F$25:$F$50)/3.2808^2</f>
        <v>0</v>
      </c>
      <c r="X125" s="156">
        <f>SUMIF('USCG Summary'!$A$25:$A$50,A125,'USCG Summary'!$I$25:$I$50)/3.2808^2</f>
        <v>0</v>
      </c>
      <c r="Y125" s="156">
        <f>SUMIF('USCG Summary'!$A$25:$A$50,A125,'USCG Summary'!$L$25:$L$50)/3.2808^2</f>
        <v>0</v>
      </c>
      <c r="Z125" s="156">
        <f>SUMIF('USCG Summary'!$A$25:$A$50,A125,'USCG Summary'!$O$25:$O$50)/3.2808^2</f>
        <v>0</v>
      </c>
      <c r="AA125" s="156">
        <f>SUMIF('USCG Summary'!$A$25:$A$50,A125,'USCG Summary'!$P$25:$P$50)/3.2808^2</f>
        <v>0</v>
      </c>
      <c r="AB125" s="156">
        <f>SUMIF('USCG Summary'!$A$25:$A$50,A125,'USCG Summary'!$Q$25:$Q$50)/3.2808^2</f>
        <v>0</v>
      </c>
      <c r="AC125" s="156">
        <f>SUMIF('USCG Summary'!$A$25:$A$50,A125,'USCG Summary'!$T$25:$T$50)/3.2808^2</f>
        <v>0</v>
      </c>
      <c r="AD125" s="156">
        <f>SUMIF('USCG Summary'!$A$25:$A$50,A125,'USCG Summary'!$W$25:$W$50)/3.2808^2</f>
        <v>0</v>
      </c>
      <c r="AE125" s="156">
        <f>SUMIF('USCG Summary'!$A$25:$A$50,A125,'USCG Summary'!$Z$25:$Z$50)/3.2808^2</f>
        <v>0</v>
      </c>
      <c r="AF125" s="156">
        <f>SUMIF(Comp!$A$75:$A$400,Areas!A125,Comp!$F$75:$F$400)</f>
        <v>0</v>
      </c>
      <c r="AG125" s="156">
        <f>SUMIF(Comp!$A$75:$A$400,Areas!A125,Comp!$G$75:$G$400)</f>
        <v>0</v>
      </c>
      <c r="AH125" s="156"/>
      <c r="AI125" s="156">
        <f>SUMIF('Flt III'!D:D,A125,'Flt III'!F:F)/3.2808^3</f>
        <v>0</v>
      </c>
      <c r="AK125" s="145">
        <f>AI125</f>
        <v>0</v>
      </c>
    </row>
    <row r="126" spans="1:37" s="141" customFormat="1">
      <c r="A126" s="144">
        <v>1.3813</v>
      </c>
      <c r="B126" s="144" t="str">
        <f>Comp!B138</f>
        <v>AVIATION FUEL</v>
      </c>
      <c r="C126" s="145">
        <f>SUM(C127:C128)+S126</f>
        <v>0</v>
      </c>
      <c r="D126" s="145">
        <f>SUM(D127:D128)+T126</f>
        <v>0</v>
      </c>
      <c r="E126" s="145">
        <f>SUM(E127:E128)+U126</f>
        <v>0</v>
      </c>
      <c r="F126" s="145">
        <f>SUM(F127:F128)+V126</f>
        <v>0</v>
      </c>
      <c r="G126" s="145"/>
      <c r="H126" s="145"/>
      <c r="I126" s="145"/>
      <c r="J126" s="145"/>
      <c r="K126" s="145"/>
      <c r="L126" s="145"/>
      <c r="M126" s="145"/>
      <c r="N126" s="145"/>
      <c r="O126" s="145"/>
      <c r="P126" s="145">
        <f>AF126</f>
        <v>0</v>
      </c>
      <c r="Q126" s="145">
        <f>AG126</f>
        <v>0</v>
      </c>
      <c r="S126" s="156">
        <f>SUMIF('Flt III'!D:D,A126,'Flt III'!E:E)/3.2808^2</f>
        <v>0</v>
      </c>
      <c r="T126" s="156">
        <f>SUMIF('Flt IIa'!A:A,A126,'Flt IIa'!E:E)/3.2808^2</f>
        <v>0</v>
      </c>
      <c r="U126" s="156">
        <f>SUMIF('OPC Des'!A:A,A126,'OPC Des'!F:F)/3.2808^2</f>
        <v>0</v>
      </c>
      <c r="V126" s="156">
        <f>SUMIF('LCS 5'!A:A,A126,'LCS 5'!E:E)</f>
        <v>0</v>
      </c>
      <c r="W126" s="156">
        <f>SUMIF('USCG Summary'!$A$25:$A$50,A126,'USCG Summary'!$F$25:$F$50)/3.2808^2</f>
        <v>0</v>
      </c>
      <c r="X126" s="156">
        <f>SUMIF('USCG Summary'!$A$25:$A$50,A126,'USCG Summary'!$I$25:$I$50)/3.2808^2</f>
        <v>0</v>
      </c>
      <c r="Y126" s="156">
        <f>SUMIF('USCG Summary'!$A$25:$A$50,A126,'USCG Summary'!$L$25:$L$50)/3.2808^2</f>
        <v>0</v>
      </c>
      <c r="Z126" s="156">
        <f>SUMIF('USCG Summary'!$A$25:$A$50,A126,'USCG Summary'!$O$25:$O$50)/3.2808^2</f>
        <v>0</v>
      </c>
      <c r="AA126" s="156">
        <f>SUMIF('USCG Summary'!$A$25:$A$50,A126,'USCG Summary'!$P$25:$P$50)/3.2808^2</f>
        <v>0</v>
      </c>
      <c r="AB126" s="156">
        <f>SUMIF('USCG Summary'!$A$25:$A$50,A126,'USCG Summary'!$Q$25:$Q$50)/3.2808^2</f>
        <v>0</v>
      </c>
      <c r="AC126" s="156">
        <f>SUMIF('USCG Summary'!$A$25:$A$50,A126,'USCG Summary'!$T$25:$T$50)/3.2808^2</f>
        <v>0</v>
      </c>
      <c r="AD126" s="156">
        <f>SUMIF('USCG Summary'!$A$25:$A$50,A126,'USCG Summary'!$W$25:$W$50)/3.2808^2</f>
        <v>0</v>
      </c>
      <c r="AE126" s="156">
        <f>SUMIF('USCG Summary'!$A$25:$A$50,A126,'USCG Summary'!$Z$25:$Z$50)/3.2808^2</f>
        <v>0</v>
      </c>
      <c r="AF126" s="156">
        <f>SUMIF(Comp!$A$75:$A$400,Areas!A126,Comp!$F$75:$F$400)</f>
        <v>0</v>
      </c>
      <c r="AG126" s="156">
        <f>SUMIF(Comp!$A$75:$A$400,Areas!A126,Comp!$G$75:$G$400)</f>
        <v>0</v>
      </c>
      <c r="AH126" s="156"/>
      <c r="AI126" s="156">
        <f>SUMIF('Flt III'!D:D,A126,'Flt III'!F:F)/3.2808^3</f>
        <v>0</v>
      </c>
      <c r="AK126" s="145">
        <f>SUM(AK127:AK128)+AI126</f>
        <v>41.400739998133965</v>
      </c>
    </row>
    <row r="127" spans="1:37" s="148" customFormat="1">
      <c r="A127" s="146" t="s">
        <v>1249</v>
      </c>
      <c r="B127" s="146"/>
      <c r="C127" s="147">
        <f t="shared" ref="C127:F128" si="36">S127</f>
        <v>0</v>
      </c>
      <c r="D127" s="147">
        <f t="shared" si="36"/>
        <v>0</v>
      </c>
      <c r="E127" s="147">
        <f t="shared" si="36"/>
        <v>0</v>
      </c>
      <c r="F127" s="147">
        <f t="shared" si="36"/>
        <v>0</v>
      </c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S127" s="155">
        <f>SUMIF('Flt III'!D:D,A127,'Flt III'!E:E)/3.2808^2</f>
        <v>0</v>
      </c>
      <c r="T127" s="155">
        <f>SUMIF('Flt IIa'!A:A,A127,'Flt IIa'!E:E)/3.2808^2</f>
        <v>0</v>
      </c>
      <c r="U127" s="155">
        <f>SUMIF('OPC Des'!A:A,A127,'OPC Des'!F:F)/3.2808^2</f>
        <v>0</v>
      </c>
      <c r="V127" s="155">
        <f>SUMIF('LCS 5'!A:A,A127,'LCS 5'!E:E)</f>
        <v>0</v>
      </c>
      <c r="W127" s="155">
        <f>SUMIF('USCG Summary'!$A$25:$A$50,A127,'USCG Summary'!$F$25:$F$50)/3.2808^2</f>
        <v>0</v>
      </c>
      <c r="X127" s="155">
        <f>SUMIF('USCG Summary'!$A$25:$A$50,A127,'USCG Summary'!$I$25:$I$50)/3.2808^2</f>
        <v>0</v>
      </c>
      <c r="Y127" s="155">
        <f>SUMIF('USCG Summary'!$A$25:$A$50,A127,'USCG Summary'!$L$25:$L$50)/3.2808^2</f>
        <v>0</v>
      </c>
      <c r="Z127" s="155">
        <f>SUMIF('USCG Summary'!$A$25:$A$50,A127,'USCG Summary'!$O$25:$O$50)/3.2808^2</f>
        <v>0</v>
      </c>
      <c r="AA127" s="155">
        <f>SUMIF('USCG Summary'!$A$25:$A$50,A127,'USCG Summary'!$P$25:$P$50)/3.2808^2</f>
        <v>0</v>
      </c>
      <c r="AB127" s="155">
        <f>SUMIF('USCG Summary'!$A$25:$A$50,A127,'USCG Summary'!$Q$25:$Q$50)/3.2808^2</f>
        <v>0</v>
      </c>
      <c r="AC127" s="155">
        <f>SUMIF('USCG Summary'!$A$25:$A$50,A127,'USCG Summary'!$T$25:$T$50)/3.2808^2</f>
        <v>0</v>
      </c>
      <c r="AD127" s="155">
        <f>SUMIF('USCG Summary'!$A$25:$A$50,A127,'USCG Summary'!$W$25:$W$50)/3.2808^2</f>
        <v>0</v>
      </c>
      <c r="AE127" s="155">
        <f>SUMIF('USCG Summary'!$A$25:$A$50,A127,'USCG Summary'!$Z$25:$Z$50)/3.2808^2</f>
        <v>0</v>
      </c>
      <c r="AF127" s="155">
        <f>SUMIF(Comp!$A$75:$A$400,Areas!A127,Comp!$F$75:$F$400)</f>
        <v>0</v>
      </c>
      <c r="AG127" s="155">
        <f>SUMIF(Comp!$A$75:$A$400,Areas!A127,Comp!$G$75:$G$400)</f>
        <v>0</v>
      </c>
      <c r="AH127" s="155"/>
      <c r="AI127" s="155">
        <f>SUMIF('Flt III'!D:D,A127,'Flt III'!F:F)/3.2808^3</f>
        <v>1.0477615457804081</v>
      </c>
      <c r="AK127" s="147">
        <f>AI127</f>
        <v>1.0477615457804081</v>
      </c>
    </row>
    <row r="128" spans="1:37" s="148" customFormat="1">
      <c r="A128" s="146" t="s">
        <v>1246</v>
      </c>
      <c r="B128" s="146"/>
      <c r="C128" s="147">
        <f t="shared" si="36"/>
        <v>0</v>
      </c>
      <c r="D128" s="147">
        <f t="shared" si="36"/>
        <v>0</v>
      </c>
      <c r="E128" s="147">
        <f t="shared" si="36"/>
        <v>0</v>
      </c>
      <c r="F128" s="147">
        <f t="shared" si="36"/>
        <v>0</v>
      </c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S128" s="155">
        <f>SUMIF('Flt III'!D:D,A128,'Flt III'!E:E)/3.2808^2</f>
        <v>0</v>
      </c>
      <c r="T128" s="155">
        <f>SUMIF('Flt IIa'!A:A,A128,'Flt IIa'!E:E)/3.2808^2</f>
        <v>0</v>
      </c>
      <c r="U128" s="155">
        <f>SUMIF('OPC Des'!A:A,A128,'OPC Des'!F:F)/3.2808^2</f>
        <v>0</v>
      </c>
      <c r="V128" s="155">
        <f>SUMIF('LCS 5'!A:A,A128,'LCS 5'!E:E)</f>
        <v>0</v>
      </c>
      <c r="W128" s="155">
        <f>SUMIF('USCG Summary'!$A$25:$A$50,A128,'USCG Summary'!$F$25:$F$50)/3.2808^2</f>
        <v>0</v>
      </c>
      <c r="X128" s="155">
        <f>SUMIF('USCG Summary'!$A$25:$A$50,A128,'USCG Summary'!$I$25:$I$50)/3.2808^2</f>
        <v>0</v>
      </c>
      <c r="Y128" s="155">
        <f>SUMIF('USCG Summary'!$A$25:$A$50,A128,'USCG Summary'!$L$25:$L$50)/3.2808^2</f>
        <v>0</v>
      </c>
      <c r="Z128" s="155">
        <f>SUMIF('USCG Summary'!$A$25:$A$50,A128,'USCG Summary'!$O$25:$O$50)/3.2808^2</f>
        <v>0</v>
      </c>
      <c r="AA128" s="155">
        <f>SUMIF('USCG Summary'!$A$25:$A$50,A128,'USCG Summary'!$P$25:$P$50)/3.2808^2</f>
        <v>0</v>
      </c>
      <c r="AB128" s="155">
        <f>SUMIF('USCG Summary'!$A$25:$A$50,A128,'USCG Summary'!$Q$25:$Q$50)/3.2808^2</f>
        <v>0</v>
      </c>
      <c r="AC128" s="155">
        <f>SUMIF('USCG Summary'!$A$25:$A$50,A128,'USCG Summary'!$T$25:$T$50)/3.2808^2</f>
        <v>0</v>
      </c>
      <c r="AD128" s="155">
        <f>SUMIF('USCG Summary'!$A$25:$A$50,A128,'USCG Summary'!$W$25:$W$50)/3.2808^2</f>
        <v>0</v>
      </c>
      <c r="AE128" s="155">
        <f>SUMIF('USCG Summary'!$A$25:$A$50,A128,'USCG Summary'!$Z$25:$Z$50)/3.2808^2</f>
        <v>0</v>
      </c>
      <c r="AF128" s="155">
        <f>SUMIF(Comp!$A$75:$A$400,Areas!A128,Comp!$F$75:$F$400)</f>
        <v>0</v>
      </c>
      <c r="AG128" s="155">
        <f>SUMIF(Comp!$A$75:$A$400,Areas!A128,Comp!$G$75:$G$400)</f>
        <v>0</v>
      </c>
      <c r="AH128" s="155"/>
      <c r="AI128" s="155">
        <f>SUMIF('Flt III'!D:D,A128,'Flt III'!F:F)/3.2808^3</f>
        <v>40.352978452353554</v>
      </c>
      <c r="AK128" s="147">
        <f>AI128</f>
        <v>40.352978452353554</v>
      </c>
    </row>
    <row r="129" spans="1:37" s="134" customFormat="1">
      <c r="A129" s="140">
        <v>1.39</v>
      </c>
      <c r="B129" s="140" t="str">
        <f>Comp!B139</f>
        <v>AVIATION STORES</v>
      </c>
      <c r="C129" s="149">
        <f>IF(S129=0,SUM(C130,C131,C132),S129)</f>
        <v>131.55390401149324</v>
      </c>
      <c r="D129" s="149">
        <f>IF(T129=0,SUM(D130,D131,D132),T129)</f>
        <v>28.521926929045499</v>
      </c>
      <c r="E129" s="149">
        <f>IF(U129=0,SUM(E130,E131,E132),U129)</f>
        <v>95.50664782755301</v>
      </c>
      <c r="F129" s="149">
        <f>IF(V129=0,SUM(F130,F131,F132),V129)</f>
        <v>0</v>
      </c>
      <c r="G129" s="149"/>
      <c r="H129" s="149"/>
      <c r="I129" s="149"/>
      <c r="J129" s="149"/>
      <c r="K129" s="149"/>
      <c r="L129" s="149"/>
      <c r="M129" s="149"/>
      <c r="N129" s="149"/>
      <c r="O129" s="149"/>
      <c r="P129" s="149">
        <f t="shared" ref="P129:Q131" si="37">AF129</f>
        <v>0</v>
      </c>
      <c r="Q129" s="149">
        <f t="shared" si="37"/>
        <v>0</v>
      </c>
      <c r="S129" s="153">
        <f>SUMIF('Flt III'!D:D,A129,'Flt III'!E:E)/3.2808^2</f>
        <v>0</v>
      </c>
      <c r="T129" s="153">
        <f>SUMIF('Flt IIa'!A:A,A129,'Flt IIa'!E:E)/3.2808^2</f>
        <v>0</v>
      </c>
      <c r="U129" s="153">
        <f>SUMIF('OPC Des'!A:A,A129,'OPC Des'!F:F)/3.2808^2</f>
        <v>0</v>
      </c>
      <c r="V129" s="153">
        <f>SUMIF('LCS 5'!A:A,A129,'LCS 5'!E:E)</f>
        <v>0</v>
      </c>
      <c r="W129" s="153">
        <f>SUMIF('USCG Summary'!$A$25:$A$50,A129,'USCG Summary'!$F$25:$F$50)/3.2808^2</f>
        <v>0</v>
      </c>
      <c r="X129" s="153">
        <f>SUMIF('USCG Summary'!$A$25:$A$50,A129,'USCG Summary'!$I$25:$I$50)/3.2808^2</f>
        <v>0</v>
      </c>
      <c r="Y129" s="153">
        <f>SUMIF('USCG Summary'!$A$25:$A$50,A129,'USCG Summary'!$L$25:$L$50)/3.2808^2</f>
        <v>0</v>
      </c>
      <c r="Z129" s="153">
        <f>SUMIF('USCG Summary'!$A$25:$A$50,A129,'USCG Summary'!$O$25:$O$50)/3.2808^2</f>
        <v>0</v>
      </c>
      <c r="AA129" s="153">
        <f>SUMIF('USCG Summary'!$A$25:$A$50,A129,'USCG Summary'!$P$25:$P$50)/3.2808^2</f>
        <v>0</v>
      </c>
      <c r="AB129" s="153">
        <f>SUMIF('USCG Summary'!$A$25:$A$50,A129,'USCG Summary'!$Q$25:$Q$50)/3.2808^2</f>
        <v>0</v>
      </c>
      <c r="AC129" s="153">
        <f>SUMIF('USCG Summary'!$A$25:$A$50,A129,'USCG Summary'!$T$25:$T$50)/3.2808^2</f>
        <v>0</v>
      </c>
      <c r="AD129" s="153">
        <f>SUMIF('USCG Summary'!$A$25:$A$50,A129,'USCG Summary'!$W$25:$W$50)/3.2808^2</f>
        <v>0</v>
      </c>
      <c r="AE129" s="153">
        <f>SUMIF('USCG Summary'!$A$25:$A$50,A129,'USCG Summary'!$Z$25:$Z$50)/3.2808^2</f>
        <v>0</v>
      </c>
      <c r="AF129" s="153">
        <f>SUMIF(Comp!$A$75:$A$400,Areas!A129,Comp!$F$75:$F$400)</f>
        <v>0</v>
      </c>
      <c r="AG129" s="153">
        <f>SUMIF(Comp!$A$75:$A$400,Areas!A129,Comp!$G$75:$G$400)</f>
        <v>0</v>
      </c>
      <c r="AH129" s="153"/>
      <c r="AI129" s="153">
        <f>SUMIF('Flt III'!D:D,A129,'Flt III'!F:F)/3.2808^3</f>
        <v>0</v>
      </c>
      <c r="AK129" s="149">
        <f>IF(AI129=0,SUM(AK130,AK131,AK132),AI129)</f>
        <v>401.06612899697086</v>
      </c>
    </row>
    <row r="130" spans="1:37" s="132" customFormat="1">
      <c r="A130" s="142">
        <v>1.391</v>
      </c>
      <c r="B130" s="142" t="str">
        <f>Comp!B140</f>
        <v>AVIATION CONSUMABLES</v>
      </c>
      <c r="C130" s="143">
        <f>SUM(C131,C133,C134)</f>
        <v>63.175603621338567</v>
      </c>
      <c r="D130" s="143">
        <f>T130</f>
        <v>28.521926929045499</v>
      </c>
      <c r="E130" s="143">
        <f>U130</f>
        <v>0</v>
      </c>
      <c r="F130" s="143">
        <f>V130</f>
        <v>0</v>
      </c>
      <c r="G130" s="143"/>
      <c r="H130" s="143"/>
      <c r="I130" s="143"/>
      <c r="J130" s="143"/>
      <c r="K130" s="143"/>
      <c r="L130" s="143"/>
      <c r="M130" s="143"/>
      <c r="N130" s="143"/>
      <c r="O130" s="143"/>
      <c r="P130" s="143">
        <f t="shared" si="37"/>
        <v>0</v>
      </c>
      <c r="Q130" s="143">
        <f t="shared" si="37"/>
        <v>0</v>
      </c>
      <c r="S130" s="154">
        <f>SUMIF('Flt III'!D:D,A130,'Flt III'!E:E)/3.2808^2</f>
        <v>0</v>
      </c>
      <c r="T130" s="154">
        <f>SUMIF('Flt IIa'!A:A,A130,'Flt IIa'!E:E)/3.2808^2</f>
        <v>28.521926929045499</v>
      </c>
      <c r="U130" s="154">
        <f>SUMIF('OPC Des'!A:A,A130,'OPC Des'!F:F)/3.2808^2</f>
        <v>0</v>
      </c>
      <c r="V130" s="154">
        <f>SUMIF('LCS 5'!A:A,A130,'LCS 5'!E:E)</f>
        <v>0</v>
      </c>
      <c r="W130" s="154">
        <f>SUMIF('USCG Summary'!$A$25:$A$50,A130,'USCG Summary'!$F$25:$F$50)/3.2808^2</f>
        <v>0</v>
      </c>
      <c r="X130" s="154">
        <f>SUMIF('USCG Summary'!$A$25:$A$50,A130,'USCG Summary'!$I$25:$I$50)/3.2808^2</f>
        <v>0</v>
      </c>
      <c r="Y130" s="154">
        <f>SUMIF('USCG Summary'!$A$25:$A$50,A130,'USCG Summary'!$L$25:$L$50)/3.2808^2</f>
        <v>0</v>
      </c>
      <c r="Z130" s="154">
        <f>SUMIF('USCG Summary'!$A$25:$A$50,A130,'USCG Summary'!$O$25:$O$50)/3.2808^2</f>
        <v>0</v>
      </c>
      <c r="AA130" s="154">
        <f>SUMIF('USCG Summary'!$A$25:$A$50,A130,'USCG Summary'!$P$25:$P$50)/3.2808^2</f>
        <v>0</v>
      </c>
      <c r="AB130" s="154">
        <f>SUMIF('USCG Summary'!$A$25:$A$50,A130,'USCG Summary'!$Q$25:$Q$50)/3.2808^2</f>
        <v>0</v>
      </c>
      <c r="AC130" s="154">
        <f>SUMIF('USCG Summary'!$A$25:$A$50,A130,'USCG Summary'!$T$25:$T$50)/3.2808^2</f>
        <v>0</v>
      </c>
      <c r="AD130" s="154">
        <f>SUMIF('USCG Summary'!$A$25:$A$50,A130,'USCG Summary'!$W$25:$W$50)/3.2808^2</f>
        <v>0</v>
      </c>
      <c r="AE130" s="154">
        <f>SUMIF('USCG Summary'!$A$25:$A$50,A130,'USCG Summary'!$Z$25:$Z$50)/3.2808^2</f>
        <v>0</v>
      </c>
      <c r="AF130" s="154">
        <f>SUMIF(Comp!$A$75:$A$400,Areas!A130,Comp!$F$75:$F$400)</f>
        <v>0</v>
      </c>
      <c r="AG130" s="154">
        <f>SUMIF(Comp!$A$75:$A$400,Areas!A130,Comp!$G$75:$G$400)</f>
        <v>0</v>
      </c>
      <c r="AH130" s="154"/>
      <c r="AI130" s="154">
        <f>SUMIF('Flt III'!D:D,A130,'Flt III'!F:F)/3.2808^3</f>
        <v>0</v>
      </c>
      <c r="AK130" s="143">
        <f>SUM(AK131,AK133,AK134)</f>
        <v>193.69429657129709</v>
      </c>
    </row>
    <row r="131" spans="1:37" s="141" customFormat="1">
      <c r="A131" s="144">
        <v>1.3911</v>
      </c>
      <c r="B131" s="144" t="str">
        <f>Comp!B141</f>
        <v>SD STOREROOM</v>
      </c>
      <c r="C131" s="145">
        <f>SUM(C132:C133)+S131</f>
        <v>36.790498579485401</v>
      </c>
      <c r="D131" s="145">
        <f>SUM(D132:D133)+T131</f>
        <v>0</v>
      </c>
      <c r="E131" s="145">
        <f>SUM(E132:E133)+U131</f>
        <v>47.753323913776505</v>
      </c>
      <c r="F131" s="145">
        <f>SUM(F132:F133)+V131</f>
        <v>0</v>
      </c>
      <c r="G131" s="145"/>
      <c r="H131" s="145"/>
      <c r="I131" s="145"/>
      <c r="J131" s="145"/>
      <c r="K131" s="145"/>
      <c r="L131" s="145"/>
      <c r="M131" s="145"/>
      <c r="N131" s="145"/>
      <c r="O131" s="145"/>
      <c r="P131" s="145">
        <f t="shared" si="37"/>
        <v>0</v>
      </c>
      <c r="Q131" s="145">
        <f t="shared" si="37"/>
        <v>0</v>
      </c>
      <c r="S131" s="156">
        <f>SUMIF('Flt III'!D:D,A131,'Flt III'!E:E)/3.2808^2</f>
        <v>0</v>
      </c>
      <c r="T131" s="156">
        <f>SUMIF('Flt IIa'!A:A,A131,'Flt IIa'!E:E)/3.2808^2</f>
        <v>0</v>
      </c>
      <c r="U131" s="156">
        <f>SUMIF('OPC Des'!A:A,A131,'OPC Des'!F:F)/3.2808^2</f>
        <v>0</v>
      </c>
      <c r="V131" s="156">
        <f>SUMIF('LCS 5'!A:A,A131,'LCS 5'!E:E)</f>
        <v>0</v>
      </c>
      <c r="W131" s="156">
        <f>SUMIF('USCG Summary'!$A$25:$A$50,A131,'USCG Summary'!$F$25:$F$50)/3.2808^2</f>
        <v>0</v>
      </c>
      <c r="X131" s="156">
        <f>SUMIF('USCG Summary'!$A$25:$A$50,A131,'USCG Summary'!$I$25:$I$50)/3.2808^2</f>
        <v>0</v>
      </c>
      <c r="Y131" s="156">
        <f>SUMIF('USCG Summary'!$A$25:$A$50,A131,'USCG Summary'!$L$25:$L$50)/3.2808^2</f>
        <v>0</v>
      </c>
      <c r="Z131" s="156">
        <f>SUMIF('USCG Summary'!$A$25:$A$50,A131,'USCG Summary'!$O$25:$O$50)/3.2808^2</f>
        <v>0</v>
      </c>
      <c r="AA131" s="156">
        <f>SUMIF('USCG Summary'!$A$25:$A$50,A131,'USCG Summary'!$P$25:$P$50)/3.2808^2</f>
        <v>0</v>
      </c>
      <c r="AB131" s="156">
        <f>SUMIF('USCG Summary'!$A$25:$A$50,A131,'USCG Summary'!$Q$25:$Q$50)/3.2808^2</f>
        <v>0</v>
      </c>
      <c r="AC131" s="156">
        <f>SUMIF('USCG Summary'!$A$25:$A$50,A131,'USCG Summary'!$T$25:$T$50)/3.2808^2</f>
        <v>0</v>
      </c>
      <c r="AD131" s="156">
        <f>SUMIF('USCG Summary'!$A$25:$A$50,A131,'USCG Summary'!$W$25:$W$50)/3.2808^2</f>
        <v>0</v>
      </c>
      <c r="AE131" s="156">
        <f>SUMIF('USCG Summary'!$A$25:$A$50,A131,'USCG Summary'!$Z$25:$Z$50)/3.2808^2</f>
        <v>0</v>
      </c>
      <c r="AF131" s="156">
        <f>SUMIF(Comp!$A$75:$A$400,Areas!A131,Comp!$F$75:$F$400)</f>
        <v>0</v>
      </c>
      <c r="AG131" s="156">
        <f>SUMIF(Comp!$A$75:$A$400,Areas!A131,Comp!$G$75:$G$400)</f>
        <v>0</v>
      </c>
      <c r="AH131" s="156"/>
      <c r="AI131" s="156">
        <f>SUMIF('Flt III'!D:D,A131,'Flt III'!F:F)/3.2808^3</f>
        <v>0</v>
      </c>
      <c r="AK131" s="145">
        <f>SUM(AK132:AK133)+AI131</f>
        <v>112.0538496392723</v>
      </c>
    </row>
    <row r="132" spans="1:37" s="148" customFormat="1">
      <c r="A132" s="146" t="s">
        <v>1237</v>
      </c>
      <c r="B132" s="146"/>
      <c r="C132" s="147">
        <f t="shared" ref="C132:F133" si="38">S132</f>
        <v>31.587801810669283</v>
      </c>
      <c r="D132" s="147">
        <f t="shared" si="38"/>
        <v>0</v>
      </c>
      <c r="E132" s="147">
        <f t="shared" si="38"/>
        <v>47.753323913776505</v>
      </c>
      <c r="F132" s="147">
        <f t="shared" si="38"/>
        <v>0</v>
      </c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S132" s="155">
        <f>SUMIF('Flt III'!D:D,A132,'Flt III'!E:E)/3.2808^2</f>
        <v>31.587801810669283</v>
      </c>
      <c r="T132" s="155">
        <f>SUMIF('Flt IIa'!A:A,A132,'Flt IIa'!E:E)/3.2808^2</f>
        <v>0</v>
      </c>
      <c r="U132" s="155">
        <f>SUMIF('OPC Des'!A:A,A132,'OPC Des'!F:F)/3.2808^2</f>
        <v>47.753323913776505</v>
      </c>
      <c r="V132" s="155">
        <f>SUMIF('LCS 5'!A:A,A132,'LCS 5'!E:E)</f>
        <v>0</v>
      </c>
      <c r="W132" s="155">
        <f>SUMIF('USCG Summary'!$A$25:$A$50,A132,'USCG Summary'!$F$25:$F$50)/3.2808^2</f>
        <v>0</v>
      </c>
      <c r="X132" s="155">
        <f>SUMIF('USCG Summary'!$A$25:$A$50,A132,'USCG Summary'!$I$25:$I$50)/3.2808^2</f>
        <v>0</v>
      </c>
      <c r="Y132" s="155">
        <f>SUMIF('USCG Summary'!$A$25:$A$50,A132,'USCG Summary'!$L$25:$L$50)/3.2808^2</f>
        <v>0</v>
      </c>
      <c r="Z132" s="155">
        <f>SUMIF('USCG Summary'!$A$25:$A$50,A132,'USCG Summary'!$O$25:$O$50)/3.2808^2</f>
        <v>0</v>
      </c>
      <c r="AA132" s="155">
        <f>SUMIF('USCG Summary'!$A$25:$A$50,A132,'USCG Summary'!$P$25:$P$50)/3.2808^2</f>
        <v>0</v>
      </c>
      <c r="AB132" s="155">
        <f>SUMIF('USCG Summary'!$A$25:$A$50,A132,'USCG Summary'!$Q$25:$Q$50)/3.2808^2</f>
        <v>0</v>
      </c>
      <c r="AC132" s="155">
        <f>SUMIF('USCG Summary'!$A$25:$A$50,A132,'USCG Summary'!$T$25:$T$50)/3.2808^2</f>
        <v>0</v>
      </c>
      <c r="AD132" s="155">
        <f>SUMIF('USCG Summary'!$A$25:$A$50,A132,'USCG Summary'!$W$25:$W$50)/3.2808^2</f>
        <v>0</v>
      </c>
      <c r="AE132" s="155">
        <f>SUMIF('USCG Summary'!$A$25:$A$50,A132,'USCG Summary'!$Z$25:$Z$50)/3.2808^2</f>
        <v>0</v>
      </c>
      <c r="AF132" s="155">
        <f>SUMIF(Comp!$A$75:$A$400,Areas!A132,Comp!$F$75:$F$400)</f>
        <v>0</v>
      </c>
      <c r="AG132" s="155">
        <f>SUMIF(Comp!$A$75:$A$400,Areas!A132,Comp!$G$75:$G$400)</f>
        <v>0</v>
      </c>
      <c r="AH132" s="155"/>
      <c r="AI132" s="155">
        <f>SUMIF('Flt III'!D:D,A132,'Flt III'!F:F)/3.2808^3</f>
        <v>95.317982786401458</v>
      </c>
      <c r="AK132" s="147">
        <f>AI132</f>
        <v>95.317982786401458</v>
      </c>
    </row>
    <row r="133" spans="1:37" s="148" customFormat="1">
      <c r="A133" s="146" t="s">
        <v>1234</v>
      </c>
      <c r="B133" s="146"/>
      <c r="C133" s="147">
        <f t="shared" si="38"/>
        <v>5.202696768816117</v>
      </c>
      <c r="D133" s="147">
        <f t="shared" si="38"/>
        <v>0</v>
      </c>
      <c r="E133" s="147">
        <f t="shared" si="38"/>
        <v>0</v>
      </c>
      <c r="F133" s="147">
        <f t="shared" si="38"/>
        <v>0</v>
      </c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S133" s="155">
        <f>SUMIF('Flt III'!D:D,A133,'Flt III'!E:E)/3.2808^2</f>
        <v>5.202696768816117</v>
      </c>
      <c r="T133" s="155">
        <f>SUMIF('Flt IIa'!A:A,A133,'Flt IIa'!E:E)/3.2808^2</f>
        <v>0</v>
      </c>
      <c r="U133" s="155">
        <f>SUMIF('OPC Des'!A:A,A133,'OPC Des'!F:F)/3.2808^2</f>
        <v>0</v>
      </c>
      <c r="V133" s="155">
        <f>SUMIF('LCS 5'!A:A,A133,'LCS 5'!E:E)</f>
        <v>0</v>
      </c>
      <c r="W133" s="155">
        <f>SUMIF('USCG Summary'!$A$25:$A$50,A133,'USCG Summary'!$F$25:$F$50)/3.2808^2</f>
        <v>0</v>
      </c>
      <c r="X133" s="155">
        <f>SUMIF('USCG Summary'!$A$25:$A$50,A133,'USCG Summary'!$I$25:$I$50)/3.2808^2</f>
        <v>0</v>
      </c>
      <c r="Y133" s="155">
        <f>SUMIF('USCG Summary'!$A$25:$A$50,A133,'USCG Summary'!$L$25:$L$50)/3.2808^2</f>
        <v>0</v>
      </c>
      <c r="Z133" s="155">
        <f>SUMIF('USCG Summary'!$A$25:$A$50,A133,'USCG Summary'!$O$25:$O$50)/3.2808^2</f>
        <v>0</v>
      </c>
      <c r="AA133" s="155">
        <f>SUMIF('USCG Summary'!$A$25:$A$50,A133,'USCG Summary'!$P$25:$P$50)/3.2808^2</f>
        <v>0</v>
      </c>
      <c r="AB133" s="155">
        <f>SUMIF('USCG Summary'!$A$25:$A$50,A133,'USCG Summary'!$Q$25:$Q$50)/3.2808^2</f>
        <v>0</v>
      </c>
      <c r="AC133" s="155">
        <f>SUMIF('USCG Summary'!$A$25:$A$50,A133,'USCG Summary'!$T$25:$T$50)/3.2808^2</f>
        <v>0</v>
      </c>
      <c r="AD133" s="155">
        <f>SUMIF('USCG Summary'!$A$25:$A$50,A133,'USCG Summary'!$W$25:$W$50)/3.2808^2</f>
        <v>0</v>
      </c>
      <c r="AE133" s="155">
        <f>SUMIF('USCG Summary'!$A$25:$A$50,A133,'USCG Summary'!$Z$25:$Z$50)/3.2808^2</f>
        <v>0</v>
      </c>
      <c r="AF133" s="155">
        <f>SUMIF(Comp!$A$75:$A$400,Areas!A133,Comp!$F$75:$F$400)</f>
        <v>0</v>
      </c>
      <c r="AG133" s="155">
        <f>SUMIF(Comp!$A$75:$A$400,Areas!A133,Comp!$G$75:$G$400)</f>
        <v>0</v>
      </c>
      <c r="AH133" s="155"/>
      <c r="AI133" s="155">
        <f>SUMIF('Flt III'!D:D,A133,'Flt III'!F:F)/3.2808^3</f>
        <v>16.735866852870842</v>
      </c>
      <c r="AK133" s="147">
        <f>AI133</f>
        <v>16.735866852870842</v>
      </c>
    </row>
    <row r="134" spans="1:37" s="139" customFormat="1">
      <c r="A134" s="137">
        <v>1.5</v>
      </c>
      <c r="B134" s="137" t="str">
        <f>Comp!B142</f>
        <v>CARGO</v>
      </c>
      <c r="C134" s="150">
        <f>C135+C137</f>
        <v>21.182408273037048</v>
      </c>
      <c r="D134" s="150">
        <f>D135+D137</f>
        <v>0</v>
      </c>
      <c r="E134" s="150">
        <f>E135+E137</f>
        <v>2.4155377855217686</v>
      </c>
      <c r="F134" s="150">
        <f>F135+F137</f>
        <v>0</v>
      </c>
      <c r="G134" s="150">
        <f>W134</f>
        <v>0</v>
      </c>
      <c r="H134" s="150">
        <f>X134</f>
        <v>0</v>
      </c>
      <c r="I134" s="150">
        <f>Y134</f>
        <v>0</v>
      </c>
      <c r="J134" s="150">
        <f t="shared" ref="J134:O134" si="39">Z134</f>
        <v>0</v>
      </c>
      <c r="K134" s="150"/>
      <c r="L134" s="150">
        <f t="shared" si="39"/>
        <v>0</v>
      </c>
      <c r="M134" s="150">
        <f t="shared" si="39"/>
        <v>0</v>
      </c>
      <c r="N134" s="150">
        <f t="shared" si="39"/>
        <v>0</v>
      </c>
      <c r="O134" s="150">
        <f t="shared" si="39"/>
        <v>80.827610515536108</v>
      </c>
      <c r="P134" s="150">
        <f t="shared" ref="P134:Q137" si="40">AF134</f>
        <v>0</v>
      </c>
      <c r="Q134" s="150">
        <f t="shared" si="40"/>
        <v>0</v>
      </c>
      <c r="S134" s="152">
        <f>SUMIF('Flt III'!D:D,A134,'Flt III'!E:E)/3.2808^2</f>
        <v>0</v>
      </c>
      <c r="T134" s="152">
        <f>SUMIF('Flt IIa'!A:A,A134,'Flt IIa'!E:E)/3.2808^2</f>
        <v>0</v>
      </c>
      <c r="U134" s="152">
        <f>SUMIF('OPC Des'!A:A,A134,'OPC Des'!F:F)/3.2808^2</f>
        <v>0</v>
      </c>
      <c r="V134" s="152">
        <f>SUMIF('LCS 5'!A:A,A134,'LCS 5'!E:E)</f>
        <v>0</v>
      </c>
      <c r="W134" s="152">
        <f>SUMIF('USCG Summary'!$A$25:$A$50,A134,'USCG Summary'!$F$25:$F$50)/3.2808^2</f>
        <v>0</v>
      </c>
      <c r="X134" s="152">
        <f>SUMIF('USCG Summary'!$A$25:$A$50,A134,'USCG Summary'!$I$25:$I$50)/3.2808^2</f>
        <v>0</v>
      </c>
      <c r="Y134" s="152">
        <f>SUMIF('USCG Summary'!$A$25:$A$50,A134,'USCG Summary'!$L$25:$L$50)/3.2808^2</f>
        <v>0</v>
      </c>
      <c r="Z134" s="152">
        <f>SUMIF('USCG Summary'!$A$25:$A$50,A134,'USCG Summary'!$O$25:$O$50)/3.2808^2</f>
        <v>0</v>
      </c>
      <c r="AA134" s="152">
        <f>SUMIF('USCG Summary'!$A$25:$A$50,A134,'USCG Summary'!$P$25:$P$50)/3.2808^2</f>
        <v>0</v>
      </c>
      <c r="AB134" s="152">
        <f>SUMIF('USCG Summary'!$A$25:$A$50,A134,'USCG Summary'!$Q$25:$Q$50)/3.2808^2</f>
        <v>0</v>
      </c>
      <c r="AC134" s="152">
        <f>SUMIF('USCG Summary'!$A$25:$A$50,A134,'USCG Summary'!$T$25:$T$50)/3.2808^2</f>
        <v>0</v>
      </c>
      <c r="AD134" s="152">
        <f>SUMIF('USCG Summary'!$A$25:$A$50,A134,'USCG Summary'!$W$25:$W$50)/3.2808^2</f>
        <v>0</v>
      </c>
      <c r="AE134" s="152">
        <f>SUMIF('USCG Summary'!$A$25:$A$50,A134,'USCG Summary'!$Z$25:$Z$50)/3.2808^2</f>
        <v>80.827610515536108</v>
      </c>
      <c r="AF134" s="152">
        <f>SUMIF(Comp!$A$75:$A$400,Areas!A134,Comp!$F$75:$F$400)</f>
        <v>0</v>
      </c>
      <c r="AG134" s="152">
        <f>SUMIF(Comp!$A$75:$A$400,Areas!A134,Comp!$G$75:$G$400)</f>
        <v>0</v>
      </c>
      <c r="AH134" s="152"/>
      <c r="AI134" s="152">
        <f>SUMIF('Flt III'!D:D,A134,'Flt III'!F:F)/3.2808^3</f>
        <v>0</v>
      </c>
      <c r="AK134" s="150">
        <f>AK135+AK137</f>
        <v>64.904580079153931</v>
      </c>
    </row>
    <row r="135" spans="1:37" s="134" customFormat="1">
      <c r="A135" s="140">
        <v>1.53</v>
      </c>
      <c r="B135" s="140"/>
      <c r="C135" s="149">
        <f>IF(S135=0,SUM(C136),S135)</f>
        <v>0</v>
      </c>
      <c r="D135" s="149">
        <f>IF(T135=0,SUM(D136),T135)</f>
        <v>0</v>
      </c>
      <c r="E135" s="149">
        <f>IF(U135=0,SUM(E136),U135)</f>
        <v>0</v>
      </c>
      <c r="F135" s="149">
        <f>IF(V135=0,SUM(F136),V135)</f>
        <v>0</v>
      </c>
      <c r="G135" s="149"/>
      <c r="H135" s="149"/>
      <c r="I135" s="149"/>
      <c r="J135" s="149"/>
      <c r="K135" s="149"/>
      <c r="L135" s="149"/>
      <c r="M135" s="149"/>
      <c r="N135" s="149"/>
      <c r="O135" s="149"/>
      <c r="P135" s="149">
        <f t="shared" si="40"/>
        <v>0</v>
      </c>
      <c r="Q135" s="149">
        <f t="shared" si="40"/>
        <v>0</v>
      </c>
      <c r="S135" s="153">
        <f>SUMIF('Flt III'!D:D,A135,'Flt III'!E:E)/3.2808^2</f>
        <v>0</v>
      </c>
      <c r="T135" s="153">
        <f>SUMIF('Flt IIa'!A:A,A135,'Flt IIa'!E:E)/3.2808^2</f>
        <v>0</v>
      </c>
      <c r="U135" s="153">
        <f>SUMIF('OPC Des'!A:A,A135,'OPC Des'!F:F)/3.2808^2</f>
        <v>0</v>
      </c>
      <c r="V135" s="153">
        <f>SUMIF('LCS 5'!A:A,A135,'LCS 5'!E:E)</f>
        <v>0</v>
      </c>
      <c r="W135" s="153">
        <f>SUMIF('USCG Summary'!$A$25:$A$50,A135,'USCG Summary'!$F$25:$F$50)/3.2808^2</f>
        <v>0</v>
      </c>
      <c r="X135" s="153">
        <f>SUMIF('USCG Summary'!$A$25:$A$50,A135,'USCG Summary'!$I$25:$I$50)/3.2808^2</f>
        <v>0</v>
      </c>
      <c r="Y135" s="153">
        <f>SUMIF('USCG Summary'!$A$25:$A$50,A135,'USCG Summary'!$L$25:$L$50)/3.2808^2</f>
        <v>0</v>
      </c>
      <c r="Z135" s="153">
        <f>SUMIF('USCG Summary'!$A$25:$A$50,A135,'USCG Summary'!$O$25:$O$50)/3.2808^2</f>
        <v>0</v>
      </c>
      <c r="AA135" s="153">
        <f>SUMIF('USCG Summary'!$A$25:$A$50,A135,'USCG Summary'!$P$25:$P$50)/3.2808^2</f>
        <v>0</v>
      </c>
      <c r="AB135" s="153">
        <f>SUMIF('USCG Summary'!$A$25:$A$50,A135,'USCG Summary'!$Q$25:$Q$50)/3.2808^2</f>
        <v>0</v>
      </c>
      <c r="AC135" s="153">
        <f>SUMIF('USCG Summary'!$A$25:$A$50,A135,'USCG Summary'!$T$25:$T$50)/3.2808^2</f>
        <v>0</v>
      </c>
      <c r="AD135" s="153">
        <f>SUMIF('USCG Summary'!$A$25:$A$50,A135,'USCG Summary'!$W$25:$W$50)/3.2808^2</f>
        <v>0</v>
      </c>
      <c r="AE135" s="153">
        <f>SUMIF('USCG Summary'!$A$25:$A$50,A135,'USCG Summary'!$Z$25:$Z$50)/3.2808^2</f>
        <v>0</v>
      </c>
      <c r="AF135" s="153">
        <f>SUMIF(Comp!$A$75:$A$400,Areas!A135,Comp!$F$75:$F$400)</f>
        <v>0</v>
      </c>
      <c r="AG135" s="153">
        <f>SUMIF(Comp!$A$75:$A$400,Areas!A135,Comp!$G$75:$G$400)</f>
        <v>0</v>
      </c>
      <c r="AH135" s="153"/>
      <c r="AI135" s="153">
        <f>SUMIF('Flt III'!D:D,A135,'Flt III'!F:F)/3.2808^3</f>
        <v>0</v>
      </c>
      <c r="AK135" s="149">
        <f>IF(AI135=0,SUM(AK136),AI135)</f>
        <v>0</v>
      </c>
    </row>
    <row r="136" spans="1:37" s="141" customFormat="1">
      <c r="A136" s="144">
        <v>1.5310999999999999</v>
      </c>
      <c r="B136" s="144" t="str">
        <f>Comp!B143</f>
        <v>CARGO ELEVATORS</v>
      </c>
      <c r="C136" s="145">
        <f>S136</f>
        <v>0</v>
      </c>
      <c r="D136" s="145">
        <f>T136</f>
        <v>0</v>
      </c>
      <c r="E136" s="145">
        <f>U136</f>
        <v>0</v>
      </c>
      <c r="F136" s="145">
        <f>V136</f>
        <v>0</v>
      </c>
      <c r="G136" s="145"/>
      <c r="H136" s="145"/>
      <c r="I136" s="145"/>
      <c r="J136" s="145"/>
      <c r="K136" s="145"/>
      <c r="L136" s="145"/>
      <c r="M136" s="145"/>
      <c r="N136" s="145"/>
      <c r="O136" s="145"/>
      <c r="P136" s="145">
        <f t="shared" si="40"/>
        <v>0</v>
      </c>
      <c r="Q136" s="145">
        <f t="shared" si="40"/>
        <v>0</v>
      </c>
      <c r="S136" s="156">
        <f>SUMIF('Flt III'!D:D,A136,'Flt III'!E:E)/3.2808^2</f>
        <v>0</v>
      </c>
      <c r="T136" s="156">
        <f>SUMIF('Flt IIa'!A:A,A136,'Flt IIa'!E:E)/3.2808^2</f>
        <v>0</v>
      </c>
      <c r="U136" s="156">
        <f>SUMIF('OPC Des'!A:A,A136,'OPC Des'!F:F)/3.2808^2</f>
        <v>0</v>
      </c>
      <c r="V136" s="156">
        <f>SUMIF('LCS 5'!A:A,A136,'LCS 5'!E:E)</f>
        <v>0</v>
      </c>
      <c r="W136" s="156">
        <f>SUMIF('USCG Summary'!$A$25:$A$50,A136,'USCG Summary'!$F$25:$F$50)/3.2808^2</f>
        <v>0</v>
      </c>
      <c r="X136" s="156">
        <f>SUMIF('USCG Summary'!$A$25:$A$50,A136,'USCG Summary'!$I$25:$I$50)/3.2808^2</f>
        <v>0</v>
      </c>
      <c r="Y136" s="156">
        <f>SUMIF('USCG Summary'!$A$25:$A$50,A136,'USCG Summary'!$L$25:$L$50)/3.2808^2</f>
        <v>0</v>
      </c>
      <c r="Z136" s="156">
        <f>SUMIF('USCG Summary'!$A$25:$A$50,A136,'USCG Summary'!$O$25:$O$50)/3.2808^2</f>
        <v>0</v>
      </c>
      <c r="AA136" s="156">
        <f>SUMIF('USCG Summary'!$A$25:$A$50,A136,'USCG Summary'!$P$25:$P$50)/3.2808^2</f>
        <v>0</v>
      </c>
      <c r="AB136" s="156">
        <f>SUMIF('USCG Summary'!$A$25:$A$50,A136,'USCG Summary'!$Q$25:$Q$50)/3.2808^2</f>
        <v>0</v>
      </c>
      <c r="AC136" s="156">
        <f>SUMIF('USCG Summary'!$A$25:$A$50,A136,'USCG Summary'!$T$25:$T$50)/3.2808^2</f>
        <v>0</v>
      </c>
      <c r="AD136" s="156">
        <f>SUMIF('USCG Summary'!$A$25:$A$50,A136,'USCG Summary'!$W$25:$W$50)/3.2808^2</f>
        <v>0</v>
      </c>
      <c r="AE136" s="156">
        <f>SUMIF('USCG Summary'!$A$25:$A$50,A136,'USCG Summary'!$Z$25:$Z$50)/3.2808^2</f>
        <v>0</v>
      </c>
      <c r="AF136" s="156">
        <f>SUMIF(Comp!$A$75:$A$400,Areas!A136,Comp!$F$75:$F$400)</f>
        <v>0</v>
      </c>
      <c r="AG136" s="156">
        <f>SUMIF(Comp!$A$75:$A$400,Areas!A136,Comp!$G$75:$G$400)</f>
        <v>0</v>
      </c>
      <c r="AH136" s="156"/>
      <c r="AI136" s="156">
        <f>SUMIF('Flt III'!D:D,A136,'Flt III'!F:F)/3.2808^3</f>
        <v>0</v>
      </c>
      <c r="AK136" s="145">
        <f>AI136</f>
        <v>0</v>
      </c>
    </row>
    <row r="137" spans="1:37" s="134" customFormat="1">
      <c r="A137" s="140">
        <v>1.56</v>
      </c>
      <c r="B137" s="140"/>
      <c r="C137" s="149">
        <f>IF(S137=0,SUM(C138),S137)</f>
        <v>21.182408273037048</v>
      </c>
      <c r="D137" s="149">
        <f>IF(T137=0,SUM(D138),T137)</f>
        <v>0</v>
      </c>
      <c r="E137" s="149">
        <f>IF(U137=0,SUM(E138),U137)</f>
        <v>2.4155377855217686</v>
      </c>
      <c r="F137" s="149">
        <f>IF(V137=0,SUM(F138),V137)</f>
        <v>0</v>
      </c>
      <c r="G137" s="149"/>
      <c r="H137" s="149"/>
      <c r="I137" s="149"/>
      <c r="J137" s="149"/>
      <c r="K137" s="149"/>
      <c r="L137" s="149"/>
      <c r="M137" s="149"/>
      <c r="N137" s="149"/>
      <c r="O137" s="149"/>
      <c r="P137" s="149">
        <f t="shared" si="40"/>
        <v>0</v>
      </c>
      <c r="Q137" s="149">
        <f t="shared" si="40"/>
        <v>0</v>
      </c>
      <c r="S137" s="153">
        <f>SUMIF('Flt III'!D:D,A137,'Flt III'!E:E)/3.2808^2</f>
        <v>0</v>
      </c>
      <c r="T137" s="153">
        <f>SUMIF('Flt IIa'!A:A,A137,'Flt IIa'!E:E)/3.2808^2</f>
        <v>0</v>
      </c>
      <c r="U137" s="153">
        <f>SUMIF('OPC Des'!A:A,A137,'OPC Des'!F:F)/3.2808^2</f>
        <v>0</v>
      </c>
      <c r="V137" s="153">
        <f>SUMIF('LCS 5'!A:A,A137,'LCS 5'!E:E)</f>
        <v>0</v>
      </c>
      <c r="W137" s="153">
        <f>SUMIF('USCG Summary'!$A$25:$A$50,A137,'USCG Summary'!$F$25:$F$50)/3.2808^2</f>
        <v>0</v>
      </c>
      <c r="X137" s="153">
        <f>SUMIF('USCG Summary'!$A$25:$A$50,A137,'USCG Summary'!$I$25:$I$50)/3.2808^2</f>
        <v>0</v>
      </c>
      <c r="Y137" s="153">
        <f>SUMIF('USCG Summary'!$A$25:$A$50,A137,'USCG Summary'!$L$25:$L$50)/3.2808^2</f>
        <v>0</v>
      </c>
      <c r="Z137" s="153">
        <f>SUMIF('USCG Summary'!$A$25:$A$50,A137,'USCG Summary'!$O$25:$O$50)/3.2808^2</f>
        <v>0</v>
      </c>
      <c r="AA137" s="153">
        <f>SUMIF('USCG Summary'!$A$25:$A$50,A137,'USCG Summary'!$P$25:$P$50)/3.2808^2</f>
        <v>0</v>
      </c>
      <c r="AB137" s="153">
        <f>SUMIF('USCG Summary'!$A$25:$A$50,A137,'USCG Summary'!$Q$25:$Q$50)/3.2808^2</f>
        <v>0</v>
      </c>
      <c r="AC137" s="153">
        <f>SUMIF('USCG Summary'!$A$25:$A$50,A137,'USCG Summary'!$T$25:$T$50)/3.2808^2</f>
        <v>0</v>
      </c>
      <c r="AD137" s="153">
        <f>SUMIF('USCG Summary'!$A$25:$A$50,A137,'USCG Summary'!$W$25:$W$50)/3.2808^2</f>
        <v>0</v>
      </c>
      <c r="AE137" s="153">
        <f>SUMIF('USCG Summary'!$A$25:$A$50,A137,'USCG Summary'!$Z$25:$Z$50)/3.2808^2</f>
        <v>0</v>
      </c>
      <c r="AF137" s="153">
        <f>SUMIF(Comp!$A$75:$A$400,Areas!A137,Comp!$F$75:$F$400)</f>
        <v>0</v>
      </c>
      <c r="AG137" s="153">
        <f>SUMIF(Comp!$A$75:$A$400,Areas!A137,Comp!$G$75:$G$400)</f>
        <v>0</v>
      </c>
      <c r="AH137" s="153"/>
      <c r="AI137" s="153">
        <f>SUMIF('Flt III'!D:D,A137,'Flt III'!F:F)/3.2808^3</f>
        <v>0</v>
      </c>
      <c r="AK137" s="149">
        <f>IF(AI137=0,SUM(AK138),AI137)</f>
        <v>64.904580079153931</v>
      </c>
    </row>
    <row r="138" spans="1:37" s="148" customFormat="1">
      <c r="A138" s="146" t="s">
        <v>1230</v>
      </c>
      <c r="B138" s="146"/>
      <c r="C138" s="147">
        <f t="shared" ref="C138:F139" si="41">S138</f>
        <v>21.182408273037048</v>
      </c>
      <c r="D138" s="147">
        <f t="shared" si="41"/>
        <v>0</v>
      </c>
      <c r="E138" s="147">
        <f t="shared" si="41"/>
        <v>2.4155377855217686</v>
      </c>
      <c r="F138" s="147">
        <f t="shared" si="41"/>
        <v>0</v>
      </c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S138" s="155">
        <f>SUMIF('Flt III'!D:D,A138,'Flt III'!E:E)/3.2808^2</f>
        <v>21.182408273037048</v>
      </c>
      <c r="T138" s="155">
        <f>SUMIF('Flt IIa'!A:A,A138,'Flt IIa'!E:E)/3.2808^2</f>
        <v>0</v>
      </c>
      <c r="U138" s="155">
        <f>SUMIF('OPC Des'!A:A,A138,'OPC Des'!F:F)/3.2808^2</f>
        <v>2.4155377855217686</v>
      </c>
      <c r="V138" s="155">
        <f>SUMIF('LCS 5'!A:A,A138,'LCS 5'!E:E)</f>
        <v>0</v>
      </c>
      <c r="W138" s="155">
        <f>SUMIF('USCG Summary'!$A$25:$A$50,A138,'USCG Summary'!$F$25:$F$50)/3.2808^2</f>
        <v>0</v>
      </c>
      <c r="X138" s="155">
        <f>SUMIF('USCG Summary'!$A$25:$A$50,A138,'USCG Summary'!$I$25:$I$50)/3.2808^2</f>
        <v>0</v>
      </c>
      <c r="Y138" s="155">
        <f>SUMIF('USCG Summary'!$A$25:$A$50,A138,'USCG Summary'!$L$25:$L$50)/3.2808^2</f>
        <v>0</v>
      </c>
      <c r="Z138" s="155">
        <f>SUMIF('USCG Summary'!$A$25:$A$50,A138,'USCG Summary'!$O$25:$O$50)/3.2808^2</f>
        <v>0</v>
      </c>
      <c r="AA138" s="155">
        <f>SUMIF('USCG Summary'!$A$25:$A$50,A138,'USCG Summary'!$P$25:$P$50)/3.2808^2</f>
        <v>0</v>
      </c>
      <c r="AB138" s="155">
        <f>SUMIF('USCG Summary'!$A$25:$A$50,A138,'USCG Summary'!$Q$25:$Q$50)/3.2808^2</f>
        <v>0</v>
      </c>
      <c r="AC138" s="155">
        <f>SUMIF('USCG Summary'!$A$25:$A$50,A138,'USCG Summary'!$T$25:$T$50)/3.2808^2</f>
        <v>0</v>
      </c>
      <c r="AD138" s="155">
        <f>SUMIF('USCG Summary'!$A$25:$A$50,A138,'USCG Summary'!$W$25:$W$50)/3.2808^2</f>
        <v>0</v>
      </c>
      <c r="AE138" s="155">
        <f>SUMIF('USCG Summary'!$A$25:$A$50,A138,'USCG Summary'!$Z$25:$Z$50)/3.2808^2</f>
        <v>0</v>
      </c>
      <c r="AF138" s="155">
        <f>SUMIF(Comp!$A$75:$A$400,Areas!A138,Comp!$F$75:$F$400)</f>
        <v>0</v>
      </c>
      <c r="AG138" s="155">
        <f>SUMIF(Comp!$A$75:$A$400,Areas!A138,Comp!$G$75:$G$400)</f>
        <v>0</v>
      </c>
      <c r="AH138" s="155"/>
      <c r="AI138" s="155">
        <f>SUMIF('Flt III'!D:D,A138,'Flt III'!F:F)/3.2808^3</f>
        <v>64.904580079153931</v>
      </c>
      <c r="AK138" s="147">
        <f>AI138</f>
        <v>64.904580079153931</v>
      </c>
    </row>
    <row r="139" spans="1:37" s="139" customFormat="1">
      <c r="A139" s="137">
        <v>1.6</v>
      </c>
      <c r="B139" s="137" t="str">
        <f>Comp!B144</f>
        <v>INTERMEDIATE MAINT FAC</v>
      </c>
      <c r="C139" s="150">
        <f t="shared" si="41"/>
        <v>0</v>
      </c>
      <c r="D139" s="150">
        <f t="shared" si="41"/>
        <v>0</v>
      </c>
      <c r="E139" s="150">
        <f t="shared" si="41"/>
        <v>0</v>
      </c>
      <c r="F139" s="150">
        <f t="shared" si="41"/>
        <v>0</v>
      </c>
      <c r="G139" s="407"/>
      <c r="H139" s="407"/>
      <c r="I139" s="407"/>
      <c r="J139" s="407"/>
      <c r="K139" s="407"/>
      <c r="L139" s="407"/>
      <c r="M139" s="407"/>
      <c r="N139" s="407"/>
      <c r="O139" s="407"/>
      <c r="P139" s="150">
        <f t="shared" ref="P139:P148" si="42">AF139</f>
        <v>0</v>
      </c>
      <c r="Q139" s="150">
        <f t="shared" ref="Q139:Q148" si="43">AG139</f>
        <v>0</v>
      </c>
      <c r="S139" s="152">
        <f>SUMIF('Flt III'!D:D,A139,'Flt III'!E:E)/3.2808^2</f>
        <v>0</v>
      </c>
      <c r="T139" s="152">
        <f>SUMIF('Flt IIa'!A:A,A139,'Flt IIa'!E:E)/3.2808^2</f>
        <v>0</v>
      </c>
      <c r="U139" s="152">
        <f>SUMIF('OPC Des'!A:A,A139,'OPC Des'!F:F)/3.2808^2</f>
        <v>0</v>
      </c>
      <c r="V139" s="152">
        <f>SUMIF('LCS 5'!A:A,A139,'LCS 5'!E:E)</f>
        <v>0</v>
      </c>
      <c r="W139" s="152">
        <f>SUMIF('USCG Summary'!$A$25:$A$50,A139,'USCG Summary'!$F$25:$F$50)/3.2808^2</f>
        <v>0</v>
      </c>
      <c r="X139" s="152">
        <f>SUMIF('USCG Summary'!$A$25:$A$50,A139,'USCG Summary'!$I$25:$I$50)/3.2808^2</f>
        <v>0</v>
      </c>
      <c r="Y139" s="152">
        <f>SUMIF('USCG Summary'!$A$25:$A$50,A139,'USCG Summary'!$L$25:$L$50)/3.2808^2</f>
        <v>0</v>
      </c>
      <c r="Z139" s="152">
        <f>SUMIF('USCG Summary'!$A$25:$A$50,A139,'USCG Summary'!$O$25:$O$50)/3.2808^2</f>
        <v>0</v>
      </c>
      <c r="AA139" s="152">
        <f>SUMIF('USCG Summary'!$A$25:$A$50,A139,'USCG Summary'!$P$25:$P$50)/3.2808^2</f>
        <v>0</v>
      </c>
      <c r="AB139" s="152">
        <f>SUMIF('USCG Summary'!$A$25:$A$50,A139,'USCG Summary'!$Q$25:$Q$50)/3.2808^2</f>
        <v>0</v>
      </c>
      <c r="AC139" s="152">
        <f>SUMIF('USCG Summary'!$A$25:$A$50,A139,'USCG Summary'!$T$25:$T$50)/3.2808^2</f>
        <v>0</v>
      </c>
      <c r="AD139" s="152">
        <f>SUMIF('USCG Summary'!$A$25:$A$50,A139,'USCG Summary'!$W$25:$W$50)/3.2808^2</f>
        <v>0</v>
      </c>
      <c r="AE139" s="152">
        <f>SUMIF('USCG Summary'!$A$25:$A$50,A139,'USCG Summary'!$Z$25:$Z$50)/3.2808^2</f>
        <v>0</v>
      </c>
      <c r="AF139" s="152">
        <f>SUMIF(Comp!$A$75:$A$400,Areas!A139,Comp!$F$75:$F$400)</f>
        <v>0</v>
      </c>
      <c r="AG139" s="152">
        <f>SUMIF(Comp!$A$75:$A$400,Areas!A139,Comp!$G$75:$G$400)</f>
        <v>0</v>
      </c>
      <c r="AH139" s="152"/>
      <c r="AI139" s="152">
        <f>SUMIF('Flt III'!D:D,A139,'Flt III'!F:F)/3.2808^3</f>
        <v>0</v>
      </c>
      <c r="AK139" s="150">
        <f>AI139</f>
        <v>0</v>
      </c>
    </row>
    <row r="140" spans="1:37" s="139" customFormat="1">
      <c r="A140" s="137">
        <v>1.7</v>
      </c>
      <c r="B140" s="137" t="str">
        <f>Comp!B145</f>
        <v>FLAG FACILITIES</v>
      </c>
      <c r="C140" s="150">
        <f>SUM(C141:C145)</f>
        <v>0</v>
      </c>
      <c r="D140" s="150">
        <f>SUM(D141:D145)</f>
        <v>0</v>
      </c>
      <c r="E140" s="150">
        <f>SUM(E141:E145)</f>
        <v>0</v>
      </c>
      <c r="F140" s="150">
        <f>SUM(F141:F145)</f>
        <v>0</v>
      </c>
      <c r="G140" s="300">
        <f>W139</f>
        <v>0</v>
      </c>
      <c r="H140" s="300">
        <f>X139</f>
        <v>0</v>
      </c>
      <c r="I140" s="300">
        <f>Y139</f>
        <v>0</v>
      </c>
      <c r="J140" s="300">
        <f>Z139</f>
        <v>0</v>
      </c>
      <c r="K140" s="300"/>
      <c r="L140" s="300">
        <f>AB139</f>
        <v>0</v>
      </c>
      <c r="M140" s="300">
        <f>AC139</f>
        <v>0</v>
      </c>
      <c r="N140" s="300">
        <f>AD139</f>
        <v>0</v>
      </c>
      <c r="O140" s="300">
        <f>AE139</f>
        <v>0</v>
      </c>
      <c r="P140" s="150">
        <f t="shared" si="42"/>
        <v>16.200000000000003</v>
      </c>
      <c r="Q140" s="150">
        <f t="shared" si="43"/>
        <v>16.3</v>
      </c>
      <c r="S140" s="152">
        <f>SUMIF('Flt III'!D:D,A140,'Flt III'!E:E)/3.2808^2</f>
        <v>0</v>
      </c>
      <c r="T140" s="152">
        <f>SUMIF('Flt IIa'!A:A,A140,'Flt IIa'!E:E)/3.2808^2</f>
        <v>0</v>
      </c>
      <c r="U140" s="152">
        <f>SUMIF('OPC Des'!A:A,A140,'OPC Des'!F:F)/3.2808^2</f>
        <v>0</v>
      </c>
      <c r="V140" s="152">
        <f>SUMIF('LCS 5'!A:A,A140,'LCS 5'!E:E)</f>
        <v>0</v>
      </c>
      <c r="W140" s="152">
        <f>SUMIF('USCG Summary'!$A$25:$A$50,A140,'USCG Summary'!$F$25:$F$50)/3.2808^2</f>
        <v>7.8969504526673209</v>
      </c>
      <c r="X140" s="152">
        <f>SUMIF('USCG Summary'!$A$25:$A$50,A140,'USCG Summary'!$I$25:$I$50)/3.2808^2</f>
        <v>0</v>
      </c>
      <c r="Y140" s="152">
        <f>SUMIF('USCG Summary'!$A$25:$A$50,A140,'USCG Summary'!$L$25:$L$50)/3.2808^2</f>
        <v>0</v>
      </c>
      <c r="Z140" s="152">
        <f>SUMIF('USCG Summary'!$A$25:$A$50,A140,'USCG Summary'!$O$25:$O$50)/3.2808^2</f>
        <v>0</v>
      </c>
      <c r="AA140" s="152">
        <f>SUMIF('USCG Summary'!$A$25:$A$50,A140,'USCG Summary'!$P$25:$P$50)/3.2808^2</f>
        <v>0</v>
      </c>
      <c r="AB140" s="152">
        <f>SUMIF('USCG Summary'!$A$25:$A$50,A140,'USCG Summary'!$Q$25:$Q$50)/3.2808^2</f>
        <v>0</v>
      </c>
      <c r="AC140" s="152">
        <f>SUMIF('USCG Summary'!$A$25:$A$50,A140,'USCG Summary'!$T$25:$T$50)/3.2808^2</f>
        <v>0</v>
      </c>
      <c r="AD140" s="152">
        <f>SUMIF('USCG Summary'!$A$25:$A$50,A140,'USCG Summary'!$W$25:$W$50)/3.2808^2</f>
        <v>14.632584662295329</v>
      </c>
      <c r="AE140" s="152">
        <f>SUMIF('USCG Summary'!$A$25:$A$50,A140,'USCG Summary'!$Z$25:$Z$50)/3.2808^2</f>
        <v>58.716149248067609</v>
      </c>
      <c r="AF140" s="152">
        <f>SUMIF(Comp!$A$75:$A$400,Areas!A140,Comp!$F$75:$F$400)</f>
        <v>16.200000000000003</v>
      </c>
      <c r="AG140" s="152">
        <f>SUMIF(Comp!$A$75:$A$400,Areas!A140,Comp!$G$75:$G$400)</f>
        <v>16.3</v>
      </c>
      <c r="AH140" s="152"/>
      <c r="AI140" s="152">
        <f>SUMIF('Flt III'!D:D,A140,'Flt III'!F:F)/3.2808^3</f>
        <v>0</v>
      </c>
      <c r="AK140" s="150">
        <f>SUM(AK141:AK145)</f>
        <v>0</v>
      </c>
    </row>
    <row r="141" spans="1:37" s="134" customFormat="1">
      <c r="A141" s="140">
        <v>1.71</v>
      </c>
      <c r="B141" s="140" t="str">
        <f>Comp!B146</f>
        <v>OPERATIONS</v>
      </c>
      <c r="C141" s="149">
        <f t="shared" ref="C141:I146" si="44">S141</f>
        <v>0</v>
      </c>
      <c r="D141" s="149">
        <f t="shared" si="44"/>
        <v>0</v>
      </c>
      <c r="E141" s="149">
        <f t="shared" si="44"/>
        <v>0</v>
      </c>
      <c r="F141" s="149">
        <f t="shared" si="44"/>
        <v>0</v>
      </c>
      <c r="G141" s="149"/>
      <c r="H141" s="149"/>
      <c r="I141" s="149"/>
      <c r="J141" s="149"/>
      <c r="K141" s="149"/>
      <c r="L141" s="149"/>
      <c r="M141" s="149"/>
      <c r="N141" s="149"/>
      <c r="O141" s="149"/>
      <c r="P141" s="149">
        <f t="shared" si="42"/>
        <v>0</v>
      </c>
      <c r="Q141" s="149">
        <f t="shared" si="43"/>
        <v>0</v>
      </c>
      <c r="S141" s="153">
        <f>SUMIF('Flt III'!D:D,A141,'Flt III'!E:E)/3.2808^2</f>
        <v>0</v>
      </c>
      <c r="T141" s="153">
        <f>SUMIF('Flt IIa'!A:A,A141,'Flt IIa'!E:E)/3.2808^2</f>
        <v>0</v>
      </c>
      <c r="U141" s="153">
        <f>SUMIF('OPC Des'!A:A,A141,'OPC Des'!F:F)/3.2808^2</f>
        <v>0</v>
      </c>
      <c r="V141" s="153">
        <f>SUMIF('LCS 5'!A:A,A141,'LCS 5'!E:E)</f>
        <v>0</v>
      </c>
      <c r="W141" s="153">
        <f>SUMIF('USCG Summary'!$A$25:$A$50,A141,'USCG Summary'!$F$25:$F$50)/3.2808^2</f>
        <v>0</v>
      </c>
      <c r="X141" s="153">
        <f>SUMIF('USCG Summary'!$A$25:$A$50,A141,'USCG Summary'!$I$25:$I$50)/3.2808^2</f>
        <v>0</v>
      </c>
      <c r="Y141" s="153">
        <f>SUMIF('USCG Summary'!$A$25:$A$50,A141,'USCG Summary'!$L$25:$L$50)/3.2808^2</f>
        <v>0</v>
      </c>
      <c r="Z141" s="153">
        <f>SUMIF('USCG Summary'!$A$25:$A$50,A141,'USCG Summary'!$O$25:$O$50)/3.2808^2</f>
        <v>0</v>
      </c>
      <c r="AA141" s="153">
        <f>SUMIF('USCG Summary'!$A$25:$A$50,A141,'USCG Summary'!$P$25:$P$50)/3.2808^2</f>
        <v>0</v>
      </c>
      <c r="AB141" s="153">
        <f>SUMIF('USCG Summary'!$A$25:$A$50,A141,'USCG Summary'!$Q$25:$Q$50)/3.2808^2</f>
        <v>0</v>
      </c>
      <c r="AC141" s="153">
        <f>SUMIF('USCG Summary'!$A$25:$A$50,A141,'USCG Summary'!$T$25:$T$50)/3.2808^2</f>
        <v>0</v>
      </c>
      <c r="AD141" s="153">
        <f>SUMIF('USCG Summary'!$A$25:$A$50,A141,'USCG Summary'!$W$25:$W$50)/3.2808^2</f>
        <v>0</v>
      </c>
      <c r="AE141" s="153">
        <f>SUMIF('USCG Summary'!$A$25:$A$50,A141,'USCG Summary'!$Z$25:$Z$50)/3.2808^2</f>
        <v>0</v>
      </c>
      <c r="AF141" s="153">
        <f>SUMIF(Comp!$A$75:$A$400,Areas!A141,Comp!$F$75:$F$400)</f>
        <v>0</v>
      </c>
      <c r="AG141" s="153">
        <f>SUMIF(Comp!$A$75:$A$400,Areas!A141,Comp!$G$75:$G$400)</f>
        <v>0</v>
      </c>
      <c r="AH141" s="153"/>
      <c r="AI141" s="153">
        <f>SUMIF('Flt III'!D:D,A141,'Flt III'!F:F)/3.2808^3</f>
        <v>0</v>
      </c>
      <c r="AK141" s="149">
        <f t="shared" ref="AK141:AK146" si="45">AI141</f>
        <v>0</v>
      </c>
    </row>
    <row r="142" spans="1:37" s="134" customFormat="1">
      <c r="A142" s="140">
        <v>1.72</v>
      </c>
      <c r="B142" s="140" t="str">
        <f>Comp!B147</f>
        <v>CONTROL</v>
      </c>
      <c r="C142" s="149">
        <f t="shared" si="44"/>
        <v>0</v>
      </c>
      <c r="D142" s="149">
        <f t="shared" si="44"/>
        <v>0</v>
      </c>
      <c r="E142" s="149">
        <f t="shared" si="44"/>
        <v>0</v>
      </c>
      <c r="F142" s="149">
        <f t="shared" si="44"/>
        <v>0</v>
      </c>
      <c r="G142" s="149"/>
      <c r="H142" s="149"/>
      <c r="I142" s="149"/>
      <c r="J142" s="149"/>
      <c r="K142" s="149"/>
      <c r="L142" s="149"/>
      <c r="M142" s="149"/>
      <c r="N142" s="149"/>
      <c r="O142" s="149"/>
      <c r="P142" s="149">
        <f t="shared" si="42"/>
        <v>9.3000000000000007</v>
      </c>
      <c r="Q142" s="149">
        <f t="shared" si="43"/>
        <v>9.3000000000000007</v>
      </c>
      <c r="S142" s="153">
        <f>SUMIF('Flt III'!D:D,A142,'Flt III'!E:E)/3.2808^2</f>
        <v>0</v>
      </c>
      <c r="T142" s="153">
        <f>SUMIF('Flt IIa'!A:A,A142,'Flt IIa'!E:E)/3.2808^2</f>
        <v>0</v>
      </c>
      <c r="U142" s="153">
        <f>SUMIF('OPC Des'!A:A,A142,'OPC Des'!F:F)/3.2808^2</f>
        <v>0</v>
      </c>
      <c r="V142" s="153">
        <f>SUMIF('LCS 5'!A:A,A142,'LCS 5'!E:E)</f>
        <v>0</v>
      </c>
      <c r="W142" s="153">
        <f>SUMIF('USCG Summary'!$A$25:$A$50,A142,'USCG Summary'!$F$25:$F$50)/3.2808^2</f>
        <v>0</v>
      </c>
      <c r="X142" s="153">
        <f>SUMIF('USCG Summary'!$A$25:$A$50,A142,'USCG Summary'!$I$25:$I$50)/3.2808^2</f>
        <v>0</v>
      </c>
      <c r="Y142" s="153">
        <f>SUMIF('USCG Summary'!$A$25:$A$50,A142,'USCG Summary'!$L$25:$L$50)/3.2808^2</f>
        <v>0</v>
      </c>
      <c r="Z142" s="153">
        <f>SUMIF('USCG Summary'!$A$25:$A$50,A142,'USCG Summary'!$O$25:$O$50)/3.2808^2</f>
        <v>0</v>
      </c>
      <c r="AA142" s="153">
        <f>SUMIF('USCG Summary'!$A$25:$A$50,A142,'USCG Summary'!$P$25:$P$50)/3.2808^2</f>
        <v>0</v>
      </c>
      <c r="AB142" s="153">
        <f>SUMIF('USCG Summary'!$A$25:$A$50,A142,'USCG Summary'!$Q$25:$Q$50)/3.2808^2</f>
        <v>0</v>
      </c>
      <c r="AC142" s="153">
        <f>SUMIF('USCG Summary'!$A$25:$A$50,A142,'USCG Summary'!$T$25:$T$50)/3.2808^2</f>
        <v>0</v>
      </c>
      <c r="AD142" s="153">
        <f>SUMIF('USCG Summary'!$A$25:$A$50,A142,'USCG Summary'!$W$25:$W$50)/3.2808^2</f>
        <v>0</v>
      </c>
      <c r="AE142" s="153">
        <f>SUMIF('USCG Summary'!$A$25:$A$50,A142,'USCG Summary'!$Z$25:$Z$50)/3.2808^2</f>
        <v>0</v>
      </c>
      <c r="AF142" s="153">
        <f>SUMIF(Comp!$A$75:$A$400,Areas!A142,Comp!$F$75:$F$400)</f>
        <v>9.3000000000000007</v>
      </c>
      <c r="AG142" s="153">
        <f>SUMIF(Comp!$A$75:$A$400,Areas!A142,Comp!$G$75:$G$400)</f>
        <v>9.3000000000000007</v>
      </c>
      <c r="AH142" s="153"/>
      <c r="AI142" s="153">
        <f>SUMIF('Flt III'!D:D,A142,'Flt III'!F:F)/3.2808^3</f>
        <v>0</v>
      </c>
      <c r="AK142" s="149">
        <f t="shared" si="45"/>
        <v>0</v>
      </c>
    </row>
    <row r="143" spans="1:37" s="134" customFormat="1">
      <c r="A143" s="140">
        <v>1.73</v>
      </c>
      <c r="B143" s="140" t="str">
        <f>Comp!B148</f>
        <v>HANDLING</v>
      </c>
      <c r="C143" s="149">
        <f t="shared" si="44"/>
        <v>0</v>
      </c>
      <c r="D143" s="149">
        <f t="shared" si="44"/>
        <v>0</v>
      </c>
      <c r="E143" s="149">
        <f t="shared" si="44"/>
        <v>0</v>
      </c>
      <c r="F143" s="149">
        <f t="shared" si="44"/>
        <v>0</v>
      </c>
      <c r="G143" s="149"/>
      <c r="H143" s="149"/>
      <c r="I143" s="149"/>
      <c r="J143" s="149"/>
      <c r="K143" s="149"/>
      <c r="L143" s="149"/>
      <c r="M143" s="149"/>
      <c r="N143" s="149"/>
      <c r="O143" s="149"/>
      <c r="P143" s="149">
        <f t="shared" si="42"/>
        <v>0</v>
      </c>
      <c r="Q143" s="149">
        <f t="shared" si="43"/>
        <v>0</v>
      </c>
      <c r="S143" s="153">
        <f>SUMIF('Flt III'!D:D,A143,'Flt III'!E:E)/3.2808^2</f>
        <v>0</v>
      </c>
      <c r="T143" s="153">
        <f>SUMIF('Flt IIa'!A:A,A143,'Flt IIa'!E:E)/3.2808^2</f>
        <v>0</v>
      </c>
      <c r="U143" s="153">
        <f>SUMIF('OPC Des'!A:A,A143,'OPC Des'!F:F)/3.2808^2</f>
        <v>0</v>
      </c>
      <c r="V143" s="153">
        <f>SUMIF('LCS 5'!A:A,A143,'LCS 5'!E:E)</f>
        <v>0</v>
      </c>
      <c r="W143" s="153">
        <f>SUMIF('USCG Summary'!$A$25:$A$50,A143,'USCG Summary'!$F$25:$F$50)/3.2808^2</f>
        <v>0</v>
      </c>
      <c r="X143" s="153">
        <f>SUMIF('USCG Summary'!$A$25:$A$50,A143,'USCG Summary'!$I$25:$I$50)/3.2808^2</f>
        <v>0</v>
      </c>
      <c r="Y143" s="153">
        <f>SUMIF('USCG Summary'!$A$25:$A$50,A143,'USCG Summary'!$L$25:$L$50)/3.2808^2</f>
        <v>0</v>
      </c>
      <c r="Z143" s="153">
        <f>SUMIF('USCG Summary'!$A$25:$A$50,A143,'USCG Summary'!$O$25:$O$50)/3.2808^2</f>
        <v>0</v>
      </c>
      <c r="AA143" s="153">
        <f>SUMIF('USCG Summary'!$A$25:$A$50,A143,'USCG Summary'!$P$25:$P$50)/3.2808^2</f>
        <v>0</v>
      </c>
      <c r="AB143" s="153">
        <f>SUMIF('USCG Summary'!$A$25:$A$50,A143,'USCG Summary'!$Q$25:$Q$50)/3.2808^2</f>
        <v>0</v>
      </c>
      <c r="AC143" s="153">
        <f>SUMIF('USCG Summary'!$A$25:$A$50,A143,'USCG Summary'!$T$25:$T$50)/3.2808^2</f>
        <v>0</v>
      </c>
      <c r="AD143" s="153">
        <f>SUMIF('USCG Summary'!$A$25:$A$50,A143,'USCG Summary'!$W$25:$W$50)/3.2808^2</f>
        <v>0</v>
      </c>
      <c r="AE143" s="153">
        <f>SUMIF('USCG Summary'!$A$25:$A$50,A143,'USCG Summary'!$Z$25:$Z$50)/3.2808^2</f>
        <v>0</v>
      </c>
      <c r="AF143" s="153">
        <f>SUMIF(Comp!$A$75:$A$400,Areas!A143,Comp!$F$75:$F$400)</f>
        <v>0</v>
      </c>
      <c r="AG143" s="153">
        <f>SUMIF(Comp!$A$75:$A$400,Areas!A143,Comp!$G$75:$G$400)</f>
        <v>0</v>
      </c>
      <c r="AH143" s="153"/>
      <c r="AI143" s="153">
        <f>SUMIF('Flt III'!D:D,A143,'Flt III'!F:F)/3.2808^3</f>
        <v>0</v>
      </c>
      <c r="AK143" s="149">
        <f t="shared" si="45"/>
        <v>0</v>
      </c>
    </row>
    <row r="144" spans="1:37" s="134" customFormat="1">
      <c r="A144" s="140">
        <v>1.74</v>
      </c>
      <c r="B144" s="140" t="str">
        <f>Comp!B149</f>
        <v>STOWAGE</v>
      </c>
      <c r="C144" s="149">
        <f t="shared" si="44"/>
        <v>0</v>
      </c>
      <c r="D144" s="149">
        <f t="shared" si="44"/>
        <v>0</v>
      </c>
      <c r="E144" s="149">
        <f t="shared" si="44"/>
        <v>0</v>
      </c>
      <c r="F144" s="149">
        <f t="shared" si="44"/>
        <v>0</v>
      </c>
      <c r="G144" s="149"/>
      <c r="H144" s="149"/>
      <c r="I144" s="149"/>
      <c r="J144" s="149"/>
      <c r="K144" s="149"/>
      <c r="L144" s="149"/>
      <c r="M144" s="149"/>
      <c r="N144" s="149"/>
      <c r="O144" s="149"/>
      <c r="P144" s="149">
        <f t="shared" si="42"/>
        <v>0</v>
      </c>
      <c r="Q144" s="149">
        <f t="shared" si="43"/>
        <v>0</v>
      </c>
      <c r="S144" s="153">
        <f>SUMIF('Flt III'!D:D,A144,'Flt III'!E:E)/3.2808^2</f>
        <v>0</v>
      </c>
      <c r="T144" s="153">
        <f>SUMIF('Flt IIa'!A:A,A144,'Flt IIa'!E:E)/3.2808^2</f>
        <v>0</v>
      </c>
      <c r="U144" s="153">
        <f>SUMIF('OPC Des'!A:A,A144,'OPC Des'!F:F)/3.2808^2</f>
        <v>0</v>
      </c>
      <c r="V144" s="153">
        <f>SUMIF('LCS 5'!A:A,A144,'LCS 5'!E:E)</f>
        <v>0</v>
      </c>
      <c r="W144" s="153">
        <f>SUMIF('USCG Summary'!$A$25:$A$50,A144,'USCG Summary'!$F$25:$F$50)/3.2808^2</f>
        <v>0</v>
      </c>
      <c r="X144" s="153">
        <f>SUMIF('USCG Summary'!$A$25:$A$50,A144,'USCG Summary'!$I$25:$I$50)/3.2808^2</f>
        <v>0</v>
      </c>
      <c r="Y144" s="153">
        <f>SUMIF('USCG Summary'!$A$25:$A$50,A144,'USCG Summary'!$L$25:$L$50)/3.2808^2</f>
        <v>0</v>
      </c>
      <c r="Z144" s="153">
        <f>SUMIF('USCG Summary'!$A$25:$A$50,A144,'USCG Summary'!$O$25:$O$50)/3.2808^2</f>
        <v>0</v>
      </c>
      <c r="AA144" s="153">
        <f>SUMIF('USCG Summary'!$A$25:$A$50,A144,'USCG Summary'!$P$25:$P$50)/3.2808^2</f>
        <v>0</v>
      </c>
      <c r="AB144" s="153">
        <f>SUMIF('USCG Summary'!$A$25:$A$50,A144,'USCG Summary'!$Q$25:$Q$50)/3.2808^2</f>
        <v>0</v>
      </c>
      <c r="AC144" s="153">
        <f>SUMIF('USCG Summary'!$A$25:$A$50,A144,'USCG Summary'!$T$25:$T$50)/3.2808^2</f>
        <v>0</v>
      </c>
      <c r="AD144" s="153">
        <f>SUMIF('USCG Summary'!$A$25:$A$50,A144,'USCG Summary'!$W$25:$W$50)/3.2808^2</f>
        <v>0</v>
      </c>
      <c r="AE144" s="153">
        <f>SUMIF('USCG Summary'!$A$25:$A$50,A144,'USCG Summary'!$Z$25:$Z$50)/3.2808^2</f>
        <v>0</v>
      </c>
      <c r="AF144" s="153">
        <f>SUMIF(Comp!$A$75:$A$400,Areas!A144,Comp!$F$75:$F$400)</f>
        <v>0</v>
      </c>
      <c r="AG144" s="153">
        <f>SUMIF(Comp!$A$75:$A$400,Areas!A144,Comp!$G$75:$G$400)</f>
        <v>0</v>
      </c>
      <c r="AH144" s="153"/>
      <c r="AI144" s="153">
        <f>SUMIF('Flt III'!D:D,A144,'Flt III'!F:F)/3.2808^3</f>
        <v>0</v>
      </c>
      <c r="AK144" s="149">
        <f t="shared" si="45"/>
        <v>0</v>
      </c>
    </row>
    <row r="145" spans="1:37" s="134" customFormat="1">
      <c r="A145" s="140">
        <v>1.75</v>
      </c>
      <c r="B145" s="140" t="str">
        <f>Comp!B150</f>
        <v>ADMIN</v>
      </c>
      <c r="C145" s="149">
        <f t="shared" si="44"/>
        <v>0</v>
      </c>
      <c r="D145" s="149">
        <f t="shared" si="44"/>
        <v>0</v>
      </c>
      <c r="E145" s="149">
        <f t="shared" si="44"/>
        <v>0</v>
      </c>
      <c r="F145" s="149">
        <f t="shared" si="44"/>
        <v>0</v>
      </c>
      <c r="G145" s="149"/>
      <c r="H145" s="149"/>
      <c r="I145" s="149"/>
      <c r="J145" s="149"/>
      <c r="K145" s="149"/>
      <c r="L145" s="149"/>
      <c r="M145" s="149"/>
      <c r="N145" s="149"/>
      <c r="O145" s="149"/>
      <c r="P145" s="149">
        <f t="shared" si="42"/>
        <v>6.9</v>
      </c>
      <c r="Q145" s="149">
        <f t="shared" si="43"/>
        <v>7</v>
      </c>
      <c r="S145" s="153">
        <f>SUMIF('Flt III'!D:D,A145,'Flt III'!E:E)/3.2808^2</f>
        <v>0</v>
      </c>
      <c r="T145" s="153">
        <f>SUMIF('Flt IIa'!A:A,A145,'Flt IIa'!E:E)/3.2808^2</f>
        <v>0</v>
      </c>
      <c r="U145" s="153">
        <f>SUMIF('OPC Des'!A:A,A145,'OPC Des'!F:F)/3.2808^2</f>
        <v>0</v>
      </c>
      <c r="V145" s="153">
        <f>SUMIF('LCS 5'!A:A,A145,'LCS 5'!E:E)</f>
        <v>0</v>
      </c>
      <c r="W145" s="153">
        <f>SUMIF('USCG Summary'!$A$25:$A$50,A145,'USCG Summary'!$F$25:$F$50)/3.2808^2</f>
        <v>0</v>
      </c>
      <c r="X145" s="153">
        <f>SUMIF('USCG Summary'!$A$25:$A$50,A145,'USCG Summary'!$I$25:$I$50)/3.2808^2</f>
        <v>0</v>
      </c>
      <c r="Y145" s="153">
        <f>SUMIF('USCG Summary'!$A$25:$A$50,A145,'USCG Summary'!$L$25:$L$50)/3.2808^2</f>
        <v>0</v>
      </c>
      <c r="Z145" s="153">
        <f>SUMIF('USCG Summary'!$A$25:$A$50,A145,'USCG Summary'!$O$25:$O$50)/3.2808^2</f>
        <v>0</v>
      </c>
      <c r="AA145" s="153">
        <f>SUMIF('USCG Summary'!$A$25:$A$50,A145,'USCG Summary'!$P$25:$P$50)/3.2808^2</f>
        <v>0</v>
      </c>
      <c r="AB145" s="153">
        <f>SUMIF('USCG Summary'!$A$25:$A$50,A145,'USCG Summary'!$Q$25:$Q$50)/3.2808^2</f>
        <v>0</v>
      </c>
      <c r="AC145" s="153">
        <f>SUMIF('USCG Summary'!$A$25:$A$50,A145,'USCG Summary'!$T$25:$T$50)/3.2808^2</f>
        <v>0</v>
      </c>
      <c r="AD145" s="153">
        <f>SUMIF('USCG Summary'!$A$25:$A$50,A145,'USCG Summary'!$W$25:$W$50)/3.2808^2</f>
        <v>0</v>
      </c>
      <c r="AE145" s="153">
        <f>SUMIF('USCG Summary'!$A$25:$A$50,A145,'USCG Summary'!$Z$25:$Z$50)/3.2808^2</f>
        <v>0</v>
      </c>
      <c r="AF145" s="153">
        <f>SUMIF(Comp!$A$75:$A$400,Areas!A145,Comp!$F$75:$F$400)</f>
        <v>6.9</v>
      </c>
      <c r="AG145" s="153">
        <f>SUMIF(Comp!$A$75:$A$400,Areas!A145,Comp!$G$75:$G$400)</f>
        <v>7</v>
      </c>
      <c r="AH145" s="153"/>
      <c r="AI145" s="153">
        <f>SUMIF('Flt III'!D:D,A145,'Flt III'!F:F)/3.2808^3</f>
        <v>0</v>
      </c>
      <c r="AK145" s="149">
        <f t="shared" si="45"/>
        <v>0</v>
      </c>
    </row>
    <row r="146" spans="1:37" s="139" customFormat="1">
      <c r="A146" s="137">
        <v>1.8</v>
      </c>
      <c r="B146" s="137" t="str">
        <f>Comp!B151</f>
        <v>SPECIAL MISSIONS</v>
      </c>
      <c r="C146" s="150">
        <f t="shared" si="44"/>
        <v>0</v>
      </c>
      <c r="D146" s="150">
        <f t="shared" si="44"/>
        <v>0</v>
      </c>
      <c r="E146" s="150">
        <f t="shared" si="44"/>
        <v>0</v>
      </c>
      <c r="F146" s="150">
        <f t="shared" si="44"/>
        <v>0</v>
      </c>
      <c r="G146" s="150">
        <f t="shared" si="44"/>
        <v>0</v>
      </c>
      <c r="H146" s="150">
        <f t="shared" si="44"/>
        <v>0</v>
      </c>
      <c r="I146" s="150">
        <f t="shared" si="44"/>
        <v>0</v>
      </c>
      <c r="J146" s="150">
        <f t="shared" ref="J146:J147" si="46">Z146</f>
        <v>0</v>
      </c>
      <c r="K146" s="150"/>
      <c r="L146" s="150">
        <f t="shared" ref="L146:L147" si="47">AB146</f>
        <v>0</v>
      </c>
      <c r="M146" s="150">
        <f t="shared" ref="M146:M147" si="48">AC146</f>
        <v>0</v>
      </c>
      <c r="N146" s="150">
        <f t="shared" ref="N146:N147" si="49">AD146</f>
        <v>0</v>
      </c>
      <c r="O146" s="150">
        <f t="shared" ref="O146:O147" si="50">AE146</f>
        <v>34.282055494520485</v>
      </c>
      <c r="P146" s="150">
        <f t="shared" si="42"/>
        <v>0</v>
      </c>
      <c r="Q146" s="150">
        <f t="shared" si="43"/>
        <v>0</v>
      </c>
      <c r="S146" s="152">
        <f>SUMIF('Flt III'!D:D,A146,'Flt III'!E:E)/3.2808^2</f>
        <v>0</v>
      </c>
      <c r="T146" s="152">
        <f>SUMIF('Flt IIa'!A:A,A146,'Flt IIa'!E:E)/3.2808^2</f>
        <v>0</v>
      </c>
      <c r="U146" s="152">
        <f>SUMIF('OPC Des'!A:A,A146,'OPC Des'!F:F)/3.2808^2</f>
        <v>0</v>
      </c>
      <c r="V146" s="152">
        <f>SUMIF('LCS 5'!A:A,A146,'LCS 5'!E:E)</f>
        <v>0</v>
      </c>
      <c r="W146" s="152">
        <f>SUMIF('USCG Summary'!$A$25:$A$50,A146,'USCG Summary'!$F$25:$F$50)/3.2808^2</f>
        <v>0</v>
      </c>
      <c r="X146" s="152">
        <f>SUMIF('USCG Summary'!$A$25:$A$50,A146,'USCG Summary'!$I$25:$I$50)/3.2808^2</f>
        <v>0</v>
      </c>
      <c r="Y146" s="152">
        <f>SUMIF('USCG Summary'!$A$25:$A$50,A146,'USCG Summary'!$L$25:$L$50)/3.2808^2</f>
        <v>0</v>
      </c>
      <c r="Z146" s="152">
        <f>SUMIF('USCG Summary'!$A$25:$A$50,A146,'USCG Summary'!$O$25:$O$50)/3.2808^2</f>
        <v>0</v>
      </c>
      <c r="AA146" s="152">
        <f>SUMIF('USCG Summary'!$A$25:$A$50,A146,'USCG Summary'!$P$25:$P$50)/3.2808^2</f>
        <v>0</v>
      </c>
      <c r="AB146" s="152">
        <f>SUMIF('USCG Summary'!$A$25:$A$50,A146,'USCG Summary'!$Q$25:$Q$50)/3.2808^2</f>
        <v>0</v>
      </c>
      <c r="AC146" s="152">
        <f>SUMIF('USCG Summary'!$A$25:$A$50,A146,'USCG Summary'!$T$25:$T$50)/3.2808^2</f>
        <v>0</v>
      </c>
      <c r="AD146" s="152">
        <f>SUMIF('USCG Summary'!$A$25:$A$50,A146,'USCG Summary'!$W$25:$W$50)/3.2808^2</f>
        <v>0</v>
      </c>
      <c r="AE146" s="152">
        <f>SUMIF('USCG Summary'!$A$25:$A$50,A146,'USCG Summary'!$Z$25:$Z$50)/3.2808^2</f>
        <v>34.282055494520485</v>
      </c>
      <c r="AF146" s="152">
        <f>SUMIF(Comp!$A$75:$A$400,Areas!A146,Comp!$F$75:$F$400)</f>
        <v>0</v>
      </c>
      <c r="AG146" s="152">
        <f>SUMIF(Comp!$A$75:$A$400,Areas!A146,Comp!$G$75:$G$400)</f>
        <v>0</v>
      </c>
      <c r="AH146" s="152"/>
      <c r="AI146" s="152">
        <f>SUMIF('Flt III'!D:D,A146,'Flt III'!F:F)/3.2808^3</f>
        <v>0</v>
      </c>
      <c r="AK146" s="150">
        <f t="shared" si="45"/>
        <v>0</v>
      </c>
    </row>
    <row r="147" spans="1:37" s="139" customFormat="1">
      <c r="A147" s="137">
        <v>1.9</v>
      </c>
      <c r="B147" s="137" t="str">
        <f>Comp!B152</f>
        <v>SM ARMS,PYRO+SALU BAT</v>
      </c>
      <c r="C147" s="150">
        <f>C148+C150+C152+C153+C155</f>
        <v>19.510112883060437</v>
      </c>
      <c r="D147" s="150">
        <f>D148+D150+D152+D153+D155</f>
        <v>16.537143300879801</v>
      </c>
      <c r="E147" s="150">
        <f>E148+E150+E152+E153+E155</f>
        <v>18.023628091970121</v>
      </c>
      <c r="F147" s="150">
        <f>F148+F150+F152+F153+F155</f>
        <v>12.350000000000001</v>
      </c>
      <c r="G147" s="150">
        <f>W147</f>
        <v>0</v>
      </c>
      <c r="H147" s="150">
        <f>X147</f>
        <v>0</v>
      </c>
      <c r="I147" s="150">
        <f>Y147</f>
        <v>0</v>
      </c>
      <c r="J147" s="150">
        <f t="shared" si="46"/>
        <v>0</v>
      </c>
      <c r="K147" s="150"/>
      <c r="L147" s="150">
        <f t="shared" si="47"/>
        <v>0</v>
      </c>
      <c r="M147" s="150">
        <f t="shared" si="48"/>
        <v>0</v>
      </c>
      <c r="N147" s="150">
        <f t="shared" si="49"/>
        <v>0</v>
      </c>
      <c r="O147" s="150">
        <f t="shared" si="50"/>
        <v>0</v>
      </c>
      <c r="P147" s="150">
        <f t="shared" si="42"/>
        <v>29.7</v>
      </c>
      <c r="Q147" s="150">
        <f t="shared" si="43"/>
        <v>29.7</v>
      </c>
      <c r="S147" s="152">
        <f>SUMIF('Flt III'!D:D,A147,'Flt III'!E:E)/3.2808^2</f>
        <v>0</v>
      </c>
      <c r="T147" s="152">
        <f>SUMIF('Flt IIa'!A:A,A147,'Flt IIa'!E:E)/3.2808^2</f>
        <v>0</v>
      </c>
      <c r="U147" s="152">
        <f>SUMIF('OPC Des'!A:A,A147,'OPC Des'!F:F)/3.2808^2</f>
        <v>0</v>
      </c>
      <c r="V147" s="152">
        <f>SUMIF('LCS 5'!A:A,A147,'LCS 5'!E:E)</f>
        <v>0</v>
      </c>
      <c r="W147" s="152">
        <f>SUMIF('USCG Summary'!$A$25:$A$50,A147,'USCG Summary'!$F$25:$F$50)/3.2808^2</f>
        <v>0</v>
      </c>
      <c r="X147" s="152">
        <f>SUMIF('USCG Summary'!$A$25:$A$50,A147,'USCG Summary'!$I$25:$I$50)/3.2808^2</f>
        <v>0</v>
      </c>
      <c r="Y147" s="152">
        <f>SUMIF('USCG Summary'!$A$25:$A$50,A147,'USCG Summary'!$L$25:$L$50)/3.2808^2</f>
        <v>0</v>
      </c>
      <c r="Z147" s="152">
        <f>SUMIF('USCG Summary'!$A$25:$A$50,A147,'USCG Summary'!$O$25:$O$50)/3.2808^2</f>
        <v>0</v>
      </c>
      <c r="AA147" s="152">
        <f>SUMIF('USCG Summary'!$A$25:$A$50,A147,'USCG Summary'!$P$25:$P$50)/3.2808^2</f>
        <v>0</v>
      </c>
      <c r="AB147" s="152">
        <f>SUMIF('USCG Summary'!$A$25:$A$50,A147,'USCG Summary'!$Q$25:$Q$50)/3.2808^2</f>
        <v>0</v>
      </c>
      <c r="AC147" s="152">
        <f>SUMIF('USCG Summary'!$A$25:$A$50,A147,'USCG Summary'!$T$25:$T$50)/3.2808^2</f>
        <v>0</v>
      </c>
      <c r="AD147" s="152">
        <f>SUMIF('USCG Summary'!$A$25:$A$50,A147,'USCG Summary'!$W$25:$W$50)/3.2808^2</f>
        <v>0</v>
      </c>
      <c r="AE147" s="152">
        <f>SUMIF('USCG Summary'!$A$25:$A$50,A147,'USCG Summary'!$Z$25:$Z$50)/3.2808^2</f>
        <v>0</v>
      </c>
      <c r="AF147" s="152">
        <f>SUMIF(Comp!$A$75:$A$400,Areas!A147,Comp!$F$75:$F$400)</f>
        <v>29.7</v>
      </c>
      <c r="AG147" s="152">
        <f>SUMIF(Comp!$A$75:$A$400,Areas!A147,Comp!$G$75:$G$400)</f>
        <v>29.7</v>
      </c>
      <c r="AH147" s="152"/>
      <c r="AI147" s="152">
        <f>SUMIF('Flt III'!D:D,A147,'Flt III'!F:F)/3.2808^3</f>
        <v>0</v>
      </c>
      <c r="AK147" s="150">
        <f>AK148+AK150+AK152+AK153+AK155</f>
        <v>57.315388342149888</v>
      </c>
    </row>
    <row r="148" spans="1:37" s="134" customFormat="1">
      <c r="A148" s="140">
        <v>1.91</v>
      </c>
      <c r="B148" s="140" t="str">
        <f>Comp!B153</f>
        <v>SM ARMS (LOCKER)</v>
      </c>
      <c r="C148" s="149">
        <f>IF(S148=0,SUM(C149),S148)</f>
        <v>5.0168861699298271</v>
      </c>
      <c r="D148" s="149">
        <f>IF(T148=0,SUM(D149),T148)</f>
        <v>5.0168861699298271</v>
      </c>
      <c r="E148" s="149">
        <f>IF(U148=0,SUM(E149),U148)</f>
        <v>8.4543822493261906</v>
      </c>
      <c r="F148" s="149">
        <f>IF(V148=0,SUM(F149),V148)</f>
        <v>5.49</v>
      </c>
      <c r="G148" s="149"/>
      <c r="H148" s="149"/>
      <c r="I148" s="149"/>
      <c r="J148" s="149"/>
      <c r="K148" s="149"/>
      <c r="L148" s="149"/>
      <c r="M148" s="149"/>
      <c r="N148" s="149"/>
      <c r="O148" s="149"/>
      <c r="P148" s="149">
        <f t="shared" si="42"/>
        <v>7.5</v>
      </c>
      <c r="Q148" s="149">
        <f t="shared" si="43"/>
        <v>7.5</v>
      </c>
      <c r="S148" s="153">
        <f>SUMIF('Flt III'!D:D,A148,'Flt III'!E:E)/3.2808^2</f>
        <v>0</v>
      </c>
      <c r="T148" s="153">
        <f>SUMIF('Flt IIa'!A:A,A148,'Flt IIa'!E:E)/3.2808^2</f>
        <v>5.0168861699298271</v>
      </c>
      <c r="U148" s="153">
        <f>SUMIF('OPC Des'!A:A,A148,'OPC Des'!F:F)/3.2808^2</f>
        <v>0</v>
      </c>
      <c r="V148" s="153">
        <f>SUMIF('LCS 5'!A:A,A148,'LCS 5'!E:E)</f>
        <v>0</v>
      </c>
      <c r="W148" s="153">
        <f>SUMIF('USCG Summary'!$A$25:$A$50,A148,'USCG Summary'!$F$25:$F$50)/3.2808^2</f>
        <v>0</v>
      </c>
      <c r="X148" s="153">
        <f>SUMIF('USCG Summary'!$A$25:$A$50,A148,'USCG Summary'!$I$25:$I$50)/3.2808^2</f>
        <v>0</v>
      </c>
      <c r="Y148" s="153">
        <f>SUMIF('USCG Summary'!$A$25:$A$50,A148,'USCG Summary'!$L$25:$L$50)/3.2808^2</f>
        <v>0</v>
      </c>
      <c r="Z148" s="153">
        <f>SUMIF('USCG Summary'!$A$25:$A$50,A148,'USCG Summary'!$O$25:$O$50)/3.2808^2</f>
        <v>0</v>
      </c>
      <c r="AA148" s="153">
        <f>SUMIF('USCG Summary'!$A$25:$A$50,A148,'USCG Summary'!$P$25:$P$50)/3.2808^2</f>
        <v>0</v>
      </c>
      <c r="AB148" s="153">
        <f>SUMIF('USCG Summary'!$A$25:$A$50,A148,'USCG Summary'!$Q$25:$Q$50)/3.2808^2</f>
        <v>0</v>
      </c>
      <c r="AC148" s="153">
        <f>SUMIF('USCG Summary'!$A$25:$A$50,A148,'USCG Summary'!$T$25:$T$50)/3.2808^2</f>
        <v>0</v>
      </c>
      <c r="AD148" s="153">
        <f>SUMIF('USCG Summary'!$A$25:$A$50,A148,'USCG Summary'!$W$25:$W$50)/3.2808^2</f>
        <v>0</v>
      </c>
      <c r="AE148" s="153">
        <f>SUMIF('USCG Summary'!$A$25:$A$50,A148,'USCG Summary'!$Z$25:$Z$50)/3.2808^2</f>
        <v>0</v>
      </c>
      <c r="AF148" s="153">
        <f>SUMIF(Comp!$A$75:$A$400,Areas!A148,Comp!$F$75:$F$400)</f>
        <v>7.5</v>
      </c>
      <c r="AG148" s="153">
        <f>SUMIF(Comp!$A$75:$A$400,Areas!A148,Comp!$G$75:$G$400)</f>
        <v>7.5</v>
      </c>
      <c r="AH148" s="153"/>
      <c r="AI148" s="153">
        <f>SUMIF('Flt III'!D:D,A148,'Flt III'!F:F)/3.2808^3</f>
        <v>0</v>
      </c>
      <c r="AK148" s="149">
        <f>IF(AI148=0,SUM(AK149),AI148)</f>
        <v>13.139496141678631</v>
      </c>
    </row>
    <row r="149" spans="1:37" s="148" customFormat="1">
      <c r="A149" s="146" t="s">
        <v>1226</v>
      </c>
      <c r="B149" s="146"/>
      <c r="C149" s="147">
        <f>S149</f>
        <v>5.0168861699298271</v>
      </c>
      <c r="D149" s="147">
        <f>T149</f>
        <v>0</v>
      </c>
      <c r="E149" s="147">
        <f>U149</f>
        <v>8.4543822493261906</v>
      </c>
      <c r="F149" s="147">
        <f>V149</f>
        <v>5.49</v>
      </c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S149" s="155">
        <f>SUMIF('Flt III'!D:D,A149,'Flt III'!E:E)/3.2808^2</f>
        <v>5.0168861699298271</v>
      </c>
      <c r="T149" s="155">
        <f>SUMIF('Flt IIa'!A:A,A149,'Flt IIa'!E:E)/3.2808^2</f>
        <v>0</v>
      </c>
      <c r="U149" s="155">
        <f>SUMIF('OPC Des'!A:A,A149,'OPC Des'!F:F)/3.2808^2</f>
        <v>8.4543822493261906</v>
      </c>
      <c r="V149" s="155">
        <f>SUMIF('LCS 5'!A:A,A149,'LCS 5'!E:E)</f>
        <v>5.49</v>
      </c>
      <c r="W149" s="155">
        <f>SUMIF('USCG Summary'!$A$25:$A$50,A149,'USCG Summary'!$F$25:$F$50)/3.2808^2</f>
        <v>0</v>
      </c>
      <c r="X149" s="155">
        <f>SUMIF('USCG Summary'!$A$25:$A$50,A149,'USCG Summary'!$I$25:$I$50)/3.2808^2</f>
        <v>0</v>
      </c>
      <c r="Y149" s="155">
        <f>SUMIF('USCG Summary'!$A$25:$A$50,A149,'USCG Summary'!$L$25:$L$50)/3.2808^2</f>
        <v>0</v>
      </c>
      <c r="Z149" s="155">
        <f>SUMIF('USCG Summary'!$A$25:$A$50,A149,'USCG Summary'!$O$25:$O$50)/3.2808^2</f>
        <v>0</v>
      </c>
      <c r="AA149" s="155">
        <f>SUMIF('USCG Summary'!$A$25:$A$50,A149,'USCG Summary'!$P$25:$P$50)/3.2808^2</f>
        <v>0</v>
      </c>
      <c r="AB149" s="155">
        <f>SUMIF('USCG Summary'!$A$25:$A$50,A149,'USCG Summary'!$Q$25:$Q$50)/3.2808^2</f>
        <v>0</v>
      </c>
      <c r="AC149" s="155">
        <f>SUMIF('USCG Summary'!$A$25:$A$50,A149,'USCG Summary'!$T$25:$T$50)/3.2808^2</f>
        <v>0</v>
      </c>
      <c r="AD149" s="155">
        <f>SUMIF('USCG Summary'!$A$25:$A$50,A149,'USCG Summary'!$W$25:$W$50)/3.2808^2</f>
        <v>0</v>
      </c>
      <c r="AE149" s="155">
        <f>SUMIF('USCG Summary'!$A$25:$A$50,A149,'USCG Summary'!$Z$25:$Z$50)/3.2808^2</f>
        <v>0</v>
      </c>
      <c r="AF149" s="155">
        <f>SUMIF(Comp!$A$75:$A$400,Areas!A149,Comp!$F$75:$F$400)</f>
        <v>0</v>
      </c>
      <c r="AG149" s="155">
        <f>SUMIF(Comp!$A$75:$A$400,Areas!A149,Comp!$G$75:$G$400)</f>
        <v>0</v>
      </c>
      <c r="AH149" s="155"/>
      <c r="AI149" s="155">
        <f>SUMIF('Flt III'!D:D,A149,'Flt III'!F:F)/3.2808^3</f>
        <v>13.139496141678631</v>
      </c>
      <c r="AK149" s="147">
        <f>AI149</f>
        <v>13.139496141678631</v>
      </c>
    </row>
    <row r="150" spans="1:37" s="134" customFormat="1">
      <c r="A150" s="140">
        <v>1.92</v>
      </c>
      <c r="B150" s="140" t="str">
        <f>Comp!B154</f>
        <v>PYROTECHNICS</v>
      </c>
      <c r="C150" s="149">
        <f>IF(S150=0,SUM(C151),S150)</f>
        <v>2.9729695821806383</v>
      </c>
      <c r="D150" s="149">
        <f>IF(T150=0,SUM(D151),T150)</f>
        <v>0</v>
      </c>
      <c r="E150" s="149">
        <f>IF(U150=0,SUM(E151),U150)</f>
        <v>0</v>
      </c>
      <c r="F150" s="149">
        <f>IF(V150=0,SUM(F151),V150)</f>
        <v>0</v>
      </c>
      <c r="G150" s="149"/>
      <c r="H150" s="149"/>
      <c r="I150" s="149"/>
      <c r="J150" s="149"/>
      <c r="K150" s="149"/>
      <c r="L150" s="149"/>
      <c r="M150" s="149"/>
      <c r="N150" s="149"/>
      <c r="O150" s="149"/>
      <c r="P150" s="149">
        <f>AF150</f>
        <v>0</v>
      </c>
      <c r="Q150" s="149">
        <f>AG150</f>
        <v>0</v>
      </c>
      <c r="S150" s="153">
        <f>SUMIF('Flt III'!D:D,A150,'Flt III'!E:E)/3.2808^2</f>
        <v>0</v>
      </c>
      <c r="T150" s="153">
        <f>SUMIF('Flt IIa'!A:A,A150,'Flt IIa'!E:E)/3.2808^2</f>
        <v>0</v>
      </c>
      <c r="U150" s="153">
        <f>SUMIF('OPC Des'!A:A,A150,'OPC Des'!F:F)/3.2808^2</f>
        <v>0</v>
      </c>
      <c r="V150" s="153">
        <f>SUMIF('LCS 5'!A:A,A150,'LCS 5'!E:E)</f>
        <v>0</v>
      </c>
      <c r="W150" s="153">
        <f>SUMIF('USCG Summary'!$A$25:$A$50,A150,'USCG Summary'!$F$25:$F$50)/3.2808^2</f>
        <v>0</v>
      </c>
      <c r="X150" s="153">
        <f>SUMIF('USCG Summary'!$A$25:$A$50,A150,'USCG Summary'!$I$25:$I$50)/3.2808^2</f>
        <v>0</v>
      </c>
      <c r="Y150" s="153">
        <f>SUMIF('USCG Summary'!$A$25:$A$50,A150,'USCG Summary'!$L$25:$L$50)/3.2808^2</f>
        <v>0</v>
      </c>
      <c r="Z150" s="153">
        <f>SUMIF('USCG Summary'!$A$25:$A$50,A150,'USCG Summary'!$O$25:$O$50)/3.2808^2</f>
        <v>0</v>
      </c>
      <c r="AA150" s="153">
        <f>SUMIF('USCG Summary'!$A$25:$A$50,A150,'USCG Summary'!$P$25:$P$50)/3.2808^2</f>
        <v>0</v>
      </c>
      <c r="AB150" s="153">
        <f>SUMIF('USCG Summary'!$A$25:$A$50,A150,'USCG Summary'!$Q$25:$Q$50)/3.2808^2</f>
        <v>0</v>
      </c>
      <c r="AC150" s="153">
        <f>SUMIF('USCG Summary'!$A$25:$A$50,A150,'USCG Summary'!$T$25:$T$50)/3.2808^2</f>
        <v>0</v>
      </c>
      <c r="AD150" s="153">
        <f>SUMIF('USCG Summary'!$A$25:$A$50,A150,'USCG Summary'!$W$25:$W$50)/3.2808^2</f>
        <v>0</v>
      </c>
      <c r="AE150" s="153">
        <f>SUMIF('USCG Summary'!$A$25:$A$50,A150,'USCG Summary'!$Z$25:$Z$50)/3.2808^2</f>
        <v>0</v>
      </c>
      <c r="AF150" s="153">
        <f>SUMIF(Comp!$A$75:$A$400,Areas!A150,Comp!$F$75:$F$400)</f>
        <v>0</v>
      </c>
      <c r="AG150" s="153">
        <f>SUMIF(Comp!$A$75:$A$400,Areas!A150,Comp!$G$75:$G$400)</f>
        <v>0</v>
      </c>
      <c r="AH150" s="153"/>
      <c r="AI150" s="153">
        <f>SUMIF('Flt III'!D:D,A150,'Flt III'!F:F)/3.2808^3</f>
        <v>0</v>
      </c>
      <c r="AK150" s="149">
        <f>IF(AI150=0,SUM(AK151),AI150)</f>
        <v>7.9573241720079642</v>
      </c>
    </row>
    <row r="151" spans="1:37" s="148" customFormat="1">
      <c r="A151" s="146" t="s">
        <v>1221</v>
      </c>
      <c r="B151" s="146"/>
      <c r="C151" s="147">
        <f t="shared" ref="C151:F152" si="51">S151</f>
        <v>2.9729695821806383</v>
      </c>
      <c r="D151" s="147">
        <f t="shared" si="51"/>
        <v>0</v>
      </c>
      <c r="E151" s="147">
        <f t="shared" si="51"/>
        <v>0</v>
      </c>
      <c r="F151" s="147">
        <f t="shared" si="51"/>
        <v>0</v>
      </c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S151" s="155">
        <f>SUMIF('Flt III'!D:D,A151,'Flt III'!E:E)/3.2808^2</f>
        <v>2.9729695821806383</v>
      </c>
      <c r="T151" s="155">
        <f>SUMIF('Flt IIa'!A:A,A151,'Flt IIa'!E:E)/3.2808^2</f>
        <v>0</v>
      </c>
      <c r="U151" s="155">
        <f>SUMIF('OPC Des'!A:A,A151,'OPC Des'!F:F)/3.2808^2</f>
        <v>0</v>
      </c>
      <c r="V151" s="155">
        <f>SUMIF('LCS 5'!A:A,A151,'LCS 5'!E:E)</f>
        <v>0</v>
      </c>
      <c r="W151" s="155">
        <f>SUMIF('USCG Summary'!$A$25:$A$50,A151,'USCG Summary'!$F$25:$F$50)/3.2808^2</f>
        <v>0</v>
      </c>
      <c r="X151" s="155">
        <f>SUMIF('USCG Summary'!$A$25:$A$50,A151,'USCG Summary'!$I$25:$I$50)/3.2808^2</f>
        <v>0</v>
      </c>
      <c r="Y151" s="155">
        <f>SUMIF('USCG Summary'!$A$25:$A$50,A151,'USCG Summary'!$L$25:$L$50)/3.2808^2</f>
        <v>0</v>
      </c>
      <c r="Z151" s="155">
        <f>SUMIF('USCG Summary'!$A$25:$A$50,A151,'USCG Summary'!$O$25:$O$50)/3.2808^2</f>
        <v>0</v>
      </c>
      <c r="AA151" s="155">
        <f>SUMIF('USCG Summary'!$A$25:$A$50,A151,'USCG Summary'!$P$25:$P$50)/3.2808^2</f>
        <v>0</v>
      </c>
      <c r="AB151" s="155">
        <f>SUMIF('USCG Summary'!$A$25:$A$50,A151,'USCG Summary'!$Q$25:$Q$50)/3.2808^2</f>
        <v>0</v>
      </c>
      <c r="AC151" s="155">
        <f>SUMIF('USCG Summary'!$A$25:$A$50,A151,'USCG Summary'!$T$25:$T$50)/3.2808^2</f>
        <v>0</v>
      </c>
      <c r="AD151" s="155">
        <f>SUMIF('USCG Summary'!$A$25:$A$50,A151,'USCG Summary'!$W$25:$W$50)/3.2808^2</f>
        <v>0</v>
      </c>
      <c r="AE151" s="155">
        <f>SUMIF('USCG Summary'!$A$25:$A$50,A151,'USCG Summary'!$Z$25:$Z$50)/3.2808^2</f>
        <v>0</v>
      </c>
      <c r="AF151" s="155">
        <f>SUMIF(Comp!$A$75:$A$400,Areas!A151,Comp!$F$75:$F$400)</f>
        <v>0</v>
      </c>
      <c r="AG151" s="155">
        <f>SUMIF(Comp!$A$75:$A$400,Areas!A151,Comp!$G$75:$G$400)</f>
        <v>0</v>
      </c>
      <c r="AH151" s="155"/>
      <c r="AI151" s="155">
        <f>SUMIF('Flt III'!D:D,A151,'Flt III'!F:F)/3.2808^3</f>
        <v>7.9573241720079642</v>
      </c>
      <c r="AK151" s="147">
        <f>AI151</f>
        <v>7.9573241720079642</v>
      </c>
    </row>
    <row r="152" spans="1:37" s="134" customFormat="1">
      <c r="A152" s="140">
        <v>1.93</v>
      </c>
      <c r="B152" s="140" t="str">
        <f>Comp!B155</f>
        <v>SALUTING BAT (MAGAZINE)</v>
      </c>
      <c r="C152" s="149">
        <f t="shared" si="51"/>
        <v>0</v>
      </c>
      <c r="D152" s="149">
        <f t="shared" si="51"/>
        <v>0</v>
      </c>
      <c r="E152" s="149">
        <f t="shared" si="51"/>
        <v>0</v>
      </c>
      <c r="F152" s="149">
        <f t="shared" si="51"/>
        <v>0</v>
      </c>
      <c r="G152" s="149"/>
      <c r="H152" s="149"/>
      <c r="I152" s="149"/>
      <c r="J152" s="149"/>
      <c r="K152" s="149"/>
      <c r="L152" s="149"/>
      <c r="M152" s="149"/>
      <c r="N152" s="149"/>
      <c r="O152" s="149"/>
      <c r="P152" s="149">
        <f t="shared" ref="P152:Q167" si="52">AF152</f>
        <v>0</v>
      </c>
      <c r="Q152" s="149">
        <f t="shared" si="52"/>
        <v>0</v>
      </c>
      <c r="S152" s="153">
        <f>SUMIF('Flt III'!D:D,A152,'Flt III'!E:E)/3.2808^2</f>
        <v>0</v>
      </c>
      <c r="T152" s="153">
        <f>SUMIF('Flt IIa'!A:A,A152,'Flt IIa'!E:E)/3.2808^2</f>
        <v>0</v>
      </c>
      <c r="U152" s="153">
        <f>SUMIF('OPC Des'!A:A,A152,'OPC Des'!F:F)/3.2808^2</f>
        <v>0</v>
      </c>
      <c r="V152" s="153">
        <f>SUMIF('LCS 5'!A:A,A152,'LCS 5'!E:E)</f>
        <v>0</v>
      </c>
      <c r="W152" s="153">
        <f>SUMIF('USCG Summary'!$A$25:$A$50,A152,'USCG Summary'!$F$25:$F$50)/3.2808^2</f>
        <v>0</v>
      </c>
      <c r="X152" s="153">
        <f>SUMIF('USCG Summary'!$A$25:$A$50,A152,'USCG Summary'!$I$25:$I$50)/3.2808^2</f>
        <v>0</v>
      </c>
      <c r="Y152" s="153">
        <f>SUMIF('USCG Summary'!$A$25:$A$50,A152,'USCG Summary'!$L$25:$L$50)/3.2808^2</f>
        <v>0</v>
      </c>
      <c r="Z152" s="153">
        <f>SUMIF('USCG Summary'!$A$25:$A$50,A152,'USCG Summary'!$O$25:$O$50)/3.2808^2</f>
        <v>0</v>
      </c>
      <c r="AA152" s="153">
        <f>SUMIF('USCG Summary'!$A$25:$A$50,A152,'USCG Summary'!$P$25:$P$50)/3.2808^2</f>
        <v>0</v>
      </c>
      <c r="AB152" s="153">
        <f>SUMIF('USCG Summary'!$A$25:$A$50,A152,'USCG Summary'!$Q$25:$Q$50)/3.2808^2</f>
        <v>0</v>
      </c>
      <c r="AC152" s="153">
        <f>SUMIF('USCG Summary'!$A$25:$A$50,A152,'USCG Summary'!$T$25:$T$50)/3.2808^2</f>
        <v>0</v>
      </c>
      <c r="AD152" s="153">
        <f>SUMIF('USCG Summary'!$A$25:$A$50,A152,'USCG Summary'!$W$25:$W$50)/3.2808^2</f>
        <v>0</v>
      </c>
      <c r="AE152" s="153">
        <f>SUMIF('USCG Summary'!$A$25:$A$50,A152,'USCG Summary'!$Z$25:$Z$50)/3.2808^2</f>
        <v>0</v>
      </c>
      <c r="AF152" s="153">
        <f>SUMIF(Comp!$A$75:$A$400,Areas!A152,Comp!$F$75:$F$400)</f>
        <v>0</v>
      </c>
      <c r="AG152" s="153">
        <f>SUMIF(Comp!$A$75:$A$400,Areas!A152,Comp!$G$75:$G$400)</f>
        <v>0</v>
      </c>
      <c r="AH152" s="153"/>
      <c r="AI152" s="153">
        <f>SUMIF('Flt III'!D:D,A152,'Flt III'!F:F)/3.2808^3</f>
        <v>0</v>
      </c>
      <c r="AK152" s="149">
        <f>AI152</f>
        <v>0</v>
      </c>
    </row>
    <row r="153" spans="1:37" s="134" customFormat="1">
      <c r="A153" s="140">
        <v>1.94</v>
      </c>
      <c r="B153" s="140" t="str">
        <f>Comp!B156</f>
        <v>ARMORY</v>
      </c>
      <c r="C153" s="149">
        <f>IF(S153=0,SUM(C154),S153)</f>
        <v>11.520257130949974</v>
      </c>
      <c r="D153" s="149">
        <f>IF(T153=0,SUM(D154),T153)</f>
        <v>11.520257130949974</v>
      </c>
      <c r="E153" s="149">
        <f>IF(U153=0,SUM(E154),U153)</f>
        <v>9.5692458426439302</v>
      </c>
      <c r="F153" s="149">
        <f>IF(V153=0,SUM(F154),V153)</f>
        <v>6.86</v>
      </c>
      <c r="G153" s="149"/>
      <c r="H153" s="149"/>
      <c r="I153" s="149"/>
      <c r="J153" s="149"/>
      <c r="K153" s="149"/>
      <c r="L153" s="149"/>
      <c r="M153" s="149"/>
      <c r="N153" s="149"/>
      <c r="O153" s="149"/>
      <c r="P153" s="149">
        <f t="shared" si="52"/>
        <v>15</v>
      </c>
      <c r="Q153" s="149">
        <f t="shared" si="52"/>
        <v>15</v>
      </c>
      <c r="S153" s="153">
        <f>SUMIF('Flt III'!D:D,A153,'Flt III'!E:E)/3.2808^2</f>
        <v>0</v>
      </c>
      <c r="T153" s="153">
        <f>SUMIF('Flt IIa'!A:A,A153,'Flt IIa'!E:E)/3.2808^2</f>
        <v>11.520257130949974</v>
      </c>
      <c r="U153" s="153">
        <f>SUMIF('OPC Des'!A:A,A153,'OPC Des'!F:F)/3.2808^2</f>
        <v>9.5692458426439302</v>
      </c>
      <c r="V153" s="153">
        <f>SUMIF('LCS 5'!A:A,A153,'LCS 5'!E:E)</f>
        <v>0</v>
      </c>
      <c r="W153" s="153">
        <f>SUMIF('USCG Summary'!$A$25:$A$50,A153,'USCG Summary'!$F$25:$F$50)/3.2808^2</f>
        <v>0</v>
      </c>
      <c r="X153" s="153">
        <f>SUMIF('USCG Summary'!$A$25:$A$50,A153,'USCG Summary'!$I$25:$I$50)/3.2808^2</f>
        <v>0</v>
      </c>
      <c r="Y153" s="153">
        <f>SUMIF('USCG Summary'!$A$25:$A$50,A153,'USCG Summary'!$L$25:$L$50)/3.2808^2</f>
        <v>0</v>
      </c>
      <c r="Z153" s="153">
        <f>SUMIF('USCG Summary'!$A$25:$A$50,A153,'USCG Summary'!$O$25:$O$50)/3.2808^2</f>
        <v>0</v>
      </c>
      <c r="AA153" s="153">
        <f>SUMIF('USCG Summary'!$A$25:$A$50,A153,'USCG Summary'!$P$25:$P$50)/3.2808^2</f>
        <v>0</v>
      </c>
      <c r="AB153" s="153">
        <f>SUMIF('USCG Summary'!$A$25:$A$50,A153,'USCG Summary'!$Q$25:$Q$50)/3.2808^2</f>
        <v>0</v>
      </c>
      <c r="AC153" s="153">
        <f>SUMIF('USCG Summary'!$A$25:$A$50,A153,'USCG Summary'!$T$25:$T$50)/3.2808^2</f>
        <v>0</v>
      </c>
      <c r="AD153" s="153">
        <f>SUMIF('USCG Summary'!$A$25:$A$50,A153,'USCG Summary'!$W$25:$W$50)/3.2808^2</f>
        <v>0</v>
      </c>
      <c r="AE153" s="153">
        <f>SUMIF('USCG Summary'!$A$25:$A$50,A153,'USCG Summary'!$Z$25:$Z$50)/3.2808^2</f>
        <v>0</v>
      </c>
      <c r="AF153" s="153">
        <f>SUMIF(Comp!$A$75:$A$400,Areas!A153,Comp!$F$75:$F$400)</f>
        <v>15</v>
      </c>
      <c r="AG153" s="153">
        <f>SUMIF(Comp!$A$75:$A$400,Areas!A153,Comp!$G$75:$G$400)</f>
        <v>15</v>
      </c>
      <c r="AH153" s="153"/>
      <c r="AI153" s="153">
        <f>SUMIF('Flt III'!D:D,A153,'Flt III'!F:F)/3.2808^3</f>
        <v>0</v>
      </c>
      <c r="AK153" s="149">
        <f>IF(AI153=0,SUM(AK154),AI153)</f>
        <v>36.218568028463295</v>
      </c>
    </row>
    <row r="154" spans="1:37" s="148" customFormat="1">
      <c r="A154" s="146" t="s">
        <v>1218</v>
      </c>
      <c r="B154" s="146"/>
      <c r="C154" s="147">
        <f t="shared" ref="C154:F155" si="53">S154</f>
        <v>11.520257130949974</v>
      </c>
      <c r="D154" s="147">
        <f t="shared" si="53"/>
        <v>0</v>
      </c>
      <c r="E154" s="147">
        <f t="shared" si="53"/>
        <v>0</v>
      </c>
      <c r="F154" s="147">
        <f t="shared" si="53"/>
        <v>6.86</v>
      </c>
      <c r="G154" s="147"/>
      <c r="H154" s="147"/>
      <c r="I154" s="147"/>
      <c r="J154" s="147"/>
      <c r="K154" s="147"/>
      <c r="L154" s="147"/>
      <c r="M154" s="147"/>
      <c r="N154" s="147"/>
      <c r="O154" s="147"/>
      <c r="P154" s="147">
        <f t="shared" si="52"/>
        <v>0</v>
      </c>
      <c r="Q154" s="147">
        <f t="shared" si="52"/>
        <v>0</v>
      </c>
      <c r="S154" s="155">
        <f>SUMIF('Flt III'!D:D,A154,'Flt III'!E:E)/3.2808^2</f>
        <v>11.520257130949974</v>
      </c>
      <c r="T154" s="155">
        <f>SUMIF('Flt IIa'!A:A,A154,'Flt IIa'!E:E)/3.2808^2</f>
        <v>0</v>
      </c>
      <c r="U154" s="155">
        <f>SUMIF('OPC Des'!A:A,A154,'OPC Des'!F:F)/3.2808^2</f>
        <v>0</v>
      </c>
      <c r="V154" s="155">
        <f>SUMIF('LCS 5'!A:A,A154,'LCS 5'!E:E)</f>
        <v>6.86</v>
      </c>
      <c r="W154" s="155">
        <f>SUMIF('USCG Summary'!$A$25:$A$50,A154,'USCG Summary'!$F$25:$F$50)/3.2808^2</f>
        <v>0</v>
      </c>
      <c r="X154" s="155">
        <f>SUMIF('USCG Summary'!$A$25:$A$50,A154,'USCG Summary'!$I$25:$I$50)/3.2808^2</f>
        <v>0</v>
      </c>
      <c r="Y154" s="155">
        <f>SUMIF('USCG Summary'!$A$25:$A$50,A154,'USCG Summary'!$L$25:$L$50)/3.2808^2</f>
        <v>0</v>
      </c>
      <c r="Z154" s="155">
        <f>SUMIF('USCG Summary'!$A$25:$A$50,A154,'USCG Summary'!$O$25:$O$50)/3.2808^2</f>
        <v>0</v>
      </c>
      <c r="AA154" s="155">
        <f>SUMIF('USCG Summary'!$A$25:$A$50,A154,'USCG Summary'!$P$25:$P$50)/3.2808^2</f>
        <v>0</v>
      </c>
      <c r="AB154" s="155">
        <f>SUMIF('USCG Summary'!$A$25:$A$50,A154,'USCG Summary'!$Q$25:$Q$50)/3.2808^2</f>
        <v>0</v>
      </c>
      <c r="AC154" s="155">
        <f>SUMIF('USCG Summary'!$A$25:$A$50,A154,'USCG Summary'!$T$25:$T$50)/3.2808^2</f>
        <v>0</v>
      </c>
      <c r="AD154" s="155">
        <f>SUMIF('USCG Summary'!$A$25:$A$50,A154,'USCG Summary'!$W$25:$W$50)/3.2808^2</f>
        <v>0</v>
      </c>
      <c r="AE154" s="155">
        <f>SUMIF('USCG Summary'!$A$25:$A$50,A154,'USCG Summary'!$Z$25:$Z$50)/3.2808^2</f>
        <v>0</v>
      </c>
      <c r="AF154" s="155">
        <f>SUMIF(Comp!$A$75:$A$400,Areas!A154,Comp!$F$75:$F$400)</f>
        <v>0</v>
      </c>
      <c r="AG154" s="155">
        <f>SUMIF(Comp!$A$75:$A$400,Areas!A154,Comp!$G$75:$G$400)</f>
        <v>0</v>
      </c>
      <c r="AH154" s="155"/>
      <c r="AI154" s="155">
        <f>SUMIF('Flt III'!D:D,A154,'Flt III'!F:F)/3.2808^3</f>
        <v>36.218568028463295</v>
      </c>
      <c r="AK154" s="147">
        <f>AI154</f>
        <v>36.218568028463295</v>
      </c>
    </row>
    <row r="155" spans="1:37" s="134" customFormat="1">
      <c r="A155" s="140">
        <v>1.95</v>
      </c>
      <c r="B155" s="140" t="str">
        <f>Comp!B157</f>
        <v>SECURITY FORCE EQUIP</v>
      </c>
      <c r="C155" s="149">
        <f t="shared" si="53"/>
        <v>0</v>
      </c>
      <c r="D155" s="149">
        <f t="shared" si="53"/>
        <v>0</v>
      </c>
      <c r="E155" s="149">
        <f t="shared" si="53"/>
        <v>0</v>
      </c>
      <c r="F155" s="149">
        <f t="shared" si="53"/>
        <v>0</v>
      </c>
      <c r="G155" s="149"/>
      <c r="H155" s="149"/>
      <c r="I155" s="149"/>
      <c r="J155" s="149"/>
      <c r="K155" s="149"/>
      <c r="L155" s="149"/>
      <c r="M155" s="149"/>
      <c r="N155" s="149"/>
      <c r="O155" s="149"/>
      <c r="P155" s="149">
        <f t="shared" si="52"/>
        <v>7</v>
      </c>
      <c r="Q155" s="149">
        <f t="shared" si="52"/>
        <v>7</v>
      </c>
      <c r="S155" s="153">
        <f>SUMIF('Flt III'!D:D,A155,'Flt III'!E:E)/3.2808^2</f>
        <v>0</v>
      </c>
      <c r="T155" s="153">
        <f>SUMIF('Flt IIa'!A:A,A155,'Flt IIa'!E:E)/3.2808^2</f>
        <v>0</v>
      </c>
      <c r="U155" s="153">
        <f>SUMIF('OPC Des'!A:A,A155,'OPC Des'!F:F)/3.2808^2</f>
        <v>0</v>
      </c>
      <c r="V155" s="153">
        <f>SUMIF('LCS 5'!A:A,A155,'LCS 5'!E:E)</f>
        <v>0</v>
      </c>
      <c r="W155" s="153">
        <f>SUMIF('USCG Summary'!$A$25:$A$50,A155,'USCG Summary'!$F$25:$F$50)/3.2808^2</f>
        <v>0</v>
      </c>
      <c r="X155" s="153">
        <f>SUMIF('USCG Summary'!$A$25:$A$50,A155,'USCG Summary'!$I$25:$I$50)/3.2808^2</f>
        <v>0</v>
      </c>
      <c r="Y155" s="153">
        <f>SUMIF('USCG Summary'!$A$25:$A$50,A155,'USCG Summary'!$L$25:$L$50)/3.2808^2</f>
        <v>0</v>
      </c>
      <c r="Z155" s="153">
        <f>SUMIF('USCG Summary'!$A$25:$A$50,A155,'USCG Summary'!$O$25:$O$50)/3.2808^2</f>
        <v>0</v>
      </c>
      <c r="AA155" s="153">
        <f>SUMIF('USCG Summary'!$A$25:$A$50,A155,'USCG Summary'!$P$25:$P$50)/3.2808^2</f>
        <v>0</v>
      </c>
      <c r="AB155" s="153">
        <f>SUMIF('USCG Summary'!$A$25:$A$50,A155,'USCG Summary'!$Q$25:$Q$50)/3.2808^2</f>
        <v>0</v>
      </c>
      <c r="AC155" s="153">
        <f>SUMIF('USCG Summary'!$A$25:$A$50,A155,'USCG Summary'!$T$25:$T$50)/3.2808^2</f>
        <v>0</v>
      </c>
      <c r="AD155" s="153">
        <f>SUMIF('USCG Summary'!$A$25:$A$50,A155,'USCG Summary'!$W$25:$W$50)/3.2808^2</f>
        <v>0</v>
      </c>
      <c r="AE155" s="153">
        <f>SUMIF('USCG Summary'!$A$25:$A$50,A155,'USCG Summary'!$Z$25:$Z$50)/3.2808^2</f>
        <v>0</v>
      </c>
      <c r="AF155" s="153">
        <f>SUMIF(Comp!$A$75:$A$400,Areas!A155,Comp!$F$75:$F$400)</f>
        <v>7</v>
      </c>
      <c r="AG155" s="153">
        <f>SUMIF(Comp!$A$75:$A$400,Areas!A155,Comp!$G$75:$G$400)</f>
        <v>7</v>
      </c>
      <c r="AH155" s="153"/>
      <c r="AI155" s="153">
        <f>SUMIF('Flt III'!D:D,A155,'Flt III'!F:F)/3.2808^3</f>
        <v>0</v>
      </c>
      <c r="AK155" s="149">
        <f>AI155</f>
        <v>0</v>
      </c>
    </row>
    <row r="156" spans="1:37">
      <c r="A156" s="107"/>
      <c r="B156" s="107"/>
    </row>
    <row r="157" spans="1:37" s="136" customFormat="1">
      <c r="A157" s="135">
        <v>2</v>
      </c>
      <c r="B157" s="136" t="str">
        <f>Comp!B160</f>
        <v>HUMAN SUPPORT</v>
      </c>
      <c r="C157" s="158">
        <f>C158+C228+C269+C295+C316+C336+C352</f>
        <v>1576.8816474484993</v>
      </c>
      <c r="D157" s="158">
        <f>D158+D228+D269+D295+D316+D336+D352</f>
        <v>1697.3798208262583</v>
      </c>
      <c r="E157" s="158">
        <f>E158+E228+E269+E295+E316+E336+E352+U157</f>
        <v>336.50299458307103</v>
      </c>
      <c r="F157" s="158">
        <f>F158+F228+F269+F295+F316+F336+F352+V157</f>
        <v>241.45</v>
      </c>
      <c r="G157" s="158">
        <f t="shared" ref="G157:O157" si="54">G158+G228+G269+G295+G316+G336+G352+W157</f>
        <v>15.700995605891496</v>
      </c>
      <c r="H157" s="158">
        <f t="shared" si="54"/>
        <v>66.659552350456494</v>
      </c>
      <c r="I157" s="158">
        <f t="shared" si="54"/>
        <v>85.8909493351875</v>
      </c>
      <c r="J157" s="158">
        <f t="shared" si="54"/>
        <v>94.113068335905837</v>
      </c>
      <c r="K157" s="158">
        <f t="shared" si="54"/>
        <v>108.42048445015014</v>
      </c>
      <c r="L157" s="158">
        <f t="shared" si="54"/>
        <v>150.13496390012224</v>
      </c>
      <c r="M157" s="158">
        <f t="shared" si="54"/>
        <v>532.41704478380291</v>
      </c>
      <c r="N157" s="158">
        <f t="shared" si="54"/>
        <v>719.15669666452425</v>
      </c>
      <c r="O157" s="158">
        <f t="shared" si="54"/>
        <v>1158.3432734571313</v>
      </c>
      <c r="P157" s="158">
        <f>AF157</f>
        <v>2100.6</v>
      </c>
      <c r="Q157" s="158">
        <f t="shared" si="52"/>
        <v>2101.5</v>
      </c>
      <c r="S157" s="151">
        <f>SUMIF('Flt III'!D:D,A157,'Flt III'!E:E)/3.2808^2</f>
        <v>0</v>
      </c>
      <c r="T157" s="151">
        <f>SUMIF('Flt IIa'!A:A,A157,'Flt IIa'!E:E)/3.2808^2</f>
        <v>0</v>
      </c>
      <c r="U157" s="151">
        <f>SUMIF('OPC Des'!A:A,A157,'OPC Des'!F:F)/3.2808^2</f>
        <v>1.6722953899766091</v>
      </c>
      <c r="V157" s="151">
        <f>SUMIF('LCS 5'!A:A,A157,'LCS 5'!E:E)</f>
        <v>0</v>
      </c>
      <c r="W157" s="151">
        <f>SUMIF('USCG Summary'!$A$25:$A$50,A157,'USCG Summary'!$D$25:$D$50)/3.2808^2</f>
        <v>0</v>
      </c>
      <c r="X157" s="151">
        <f>SUMIF('USCG Summary'!$A$25:$A$50,A157,'USCG Summary'!$I$25:$I$50)/3.2808^2</f>
        <v>0</v>
      </c>
      <c r="Y157" s="151">
        <f>SUMIF('USCG Summary'!$A$25:$A$50,A157,'USCG Summary'!$L$25:$L$50)/3.2808^2</f>
        <v>0</v>
      </c>
      <c r="Z157" s="151">
        <f>SUMIF('USCG Summary'!$A$25:$A$50,A157,'USCG Summary'!$O$25:$O$50)/3.2808^2</f>
        <v>0</v>
      </c>
      <c r="AA157" s="151">
        <f>SUMIF('USCG Summary'!$A$25:$A$50,A157,'USCG Summary'!$P$25:$P$50)/3.2808^2</f>
        <v>0</v>
      </c>
      <c r="AB157" s="151">
        <f>SUMIF('USCG Summary'!$A$25:$A$50,A157,'USCG Summary'!$Q$25:$Q$50)/3.2808^2</f>
        <v>0</v>
      </c>
      <c r="AC157" s="151">
        <f>SUMIF('USCG Summary'!$A$25:$A$50,A157,'USCG Summary'!$T$25:$T$50)/3.2808^2</f>
        <v>0</v>
      </c>
      <c r="AD157" s="151">
        <f>SUMIF('USCG Summary'!$A$25:$A$50,A157,'USCG Summary'!$W$25:$W$50)/3.2808^2</f>
        <v>0</v>
      </c>
      <c r="AE157" s="151">
        <f>SUMIF('USCG Summary'!$A$25:$A$50,A157,'USCG Summary'!$Z$25:$Z$50)/3.2808^2</f>
        <v>0</v>
      </c>
      <c r="AF157" s="151">
        <f>SUMIF(Comp!$A$75:$A$400,Areas!A157,Comp!$F$75:$F$400)</f>
        <v>2100.6</v>
      </c>
      <c r="AG157" s="151">
        <f>SUMIF(Comp!$A$75:$A$400,Areas!A157,Comp!$G$75:$G$400)</f>
        <v>2101.5</v>
      </c>
      <c r="AH157" s="151"/>
      <c r="AI157" s="151"/>
      <c r="AK157" s="135"/>
    </row>
    <row r="158" spans="1:37" s="139" customFormat="1">
      <c r="A158" s="137">
        <v>2.1</v>
      </c>
      <c r="B158" s="139" t="str">
        <f>Comp!B161</f>
        <v>LIVING</v>
      </c>
      <c r="C158" s="150">
        <f>C159+C188+C195+C208+C215+C225</f>
        <v>819.05311989076597</v>
      </c>
      <c r="D158" s="150">
        <f>D159+D188+D195+D208+D215+D225</f>
        <v>979.7792879274067</v>
      </c>
      <c r="E158" s="150">
        <f>E159+E188+E195+E208+E215+E225</f>
        <v>87.516792075442538</v>
      </c>
      <c r="F158" s="150">
        <f>F159+F188+F195+F208+F215+F225</f>
        <v>5.32</v>
      </c>
      <c r="G158" s="406">
        <f>W158</f>
        <v>0</v>
      </c>
      <c r="H158" s="406">
        <f t="shared" ref="H158:O158" si="55">X158</f>
        <v>37.208572426979551</v>
      </c>
      <c r="I158" s="406">
        <f t="shared" si="55"/>
        <v>64.011751316326865</v>
      </c>
      <c r="J158" s="406">
        <f t="shared" si="55"/>
        <v>66.38083645212707</v>
      </c>
      <c r="K158" s="406">
        <f t="shared" si="55"/>
        <v>88.817466267646566</v>
      </c>
      <c r="L158" s="406">
        <f t="shared" si="55"/>
        <v>119.38330978444125</v>
      </c>
      <c r="M158" s="406">
        <f t="shared" si="55"/>
        <v>415.89057295723836</v>
      </c>
      <c r="N158" s="406">
        <f t="shared" si="55"/>
        <v>528.74728545579865</v>
      </c>
      <c r="O158" s="406">
        <f t="shared" si="55"/>
        <v>865.87739081011091</v>
      </c>
      <c r="P158" s="150">
        <f t="shared" si="52"/>
        <v>1192.8</v>
      </c>
      <c r="Q158" s="150">
        <f t="shared" si="52"/>
        <v>1192.8</v>
      </c>
      <c r="S158" s="152">
        <f>SUMIF('Flt III'!D:D,A158,'Flt III'!E:E)/3.2808^2</f>
        <v>0</v>
      </c>
      <c r="T158" s="152">
        <f>SUMIF('Flt IIa'!A:A,A158,'Flt IIa'!E:E)/3.2808^2</f>
        <v>0</v>
      </c>
      <c r="U158" s="152">
        <f>SUMIF('OPC Des'!A:A,A158,'OPC Des'!F:F)/3.2808^2</f>
        <v>0</v>
      </c>
      <c r="V158" s="152">
        <f>SUMIF('LCS 5'!A:A,A158,'LCS 5'!E:E)</f>
        <v>0</v>
      </c>
      <c r="W158" s="152">
        <f>SUMIF('USCG Summary'!$A$25:$A$50,A158,'USCG Summary'!$D$25:$D$50)/3.2808^2</f>
        <v>0</v>
      </c>
      <c r="X158" s="152">
        <f>SUMIF('USCG Summary'!$A$25:$A$50,A158,'USCG Summary'!$I$25:$I$50)/3.2808^2</f>
        <v>37.208572426979551</v>
      </c>
      <c r="Y158" s="152">
        <f>SUMIF('USCG Summary'!$A$25:$A$50,A158,'USCG Summary'!$L$25:$L$50)/3.2808^2</f>
        <v>64.011751316326865</v>
      </c>
      <c r="Z158" s="152">
        <f>SUMIF('USCG Summary'!$A$25:$A$50,A158,'USCG Summary'!$O$25:$O$50)/3.2808^2</f>
        <v>66.38083645212707</v>
      </c>
      <c r="AA158" s="152">
        <f>SUMIF('USCG Summary'!$A$25:$A$50,A158,'USCG Summary'!$P$25:$P$50)/3.2808^2</f>
        <v>88.817466267646566</v>
      </c>
      <c r="AB158" s="152">
        <f>SUMIF('USCG Summary'!$A$25:$A$50,A158,'USCG Summary'!$Q$25:$Q$50)/3.2808^2</f>
        <v>119.38330978444125</v>
      </c>
      <c r="AC158" s="152">
        <f>SUMIF('USCG Summary'!$A$25:$A$50,A158,'USCG Summary'!$T$25:$T$50)/3.2808^2</f>
        <v>415.89057295723836</v>
      </c>
      <c r="AD158" s="152">
        <f>SUMIF('USCG Summary'!$A$25:$A$50,A158,'USCG Summary'!$W$25:$W$50)/3.2808^2</f>
        <v>528.74728545579865</v>
      </c>
      <c r="AE158" s="152">
        <f>SUMIF('USCG Summary'!$A$25:$A$50,A158,'USCG Summary'!$Z$25:$Z$50)/3.2808^2</f>
        <v>865.87739081011091</v>
      </c>
      <c r="AF158" s="152">
        <f>SUMIF(Comp!$A$75:$A$400,Areas!A158,Comp!$F$75:$F$400)</f>
        <v>1192.8</v>
      </c>
      <c r="AG158" s="152">
        <f>SUMIF(Comp!$A$75:$A$400,Areas!A158,Comp!$G$75:$G$400)</f>
        <v>1192.8</v>
      </c>
      <c r="AH158" s="152"/>
      <c r="AI158" s="152"/>
      <c r="AK158" s="138"/>
    </row>
    <row r="159" spans="1:37" s="134" customFormat="1">
      <c r="A159" s="140">
        <v>2.11</v>
      </c>
      <c r="B159" s="134" t="str">
        <f>Comp!B162</f>
        <v>OFFICER LIVING</v>
      </c>
      <c r="C159" s="149">
        <f>C160+C180</f>
        <v>149.29881620513393</v>
      </c>
      <c r="D159" s="149">
        <f>D160+D180</f>
        <v>251.12302439482079</v>
      </c>
      <c r="E159" s="149">
        <f>E160+E180</f>
        <v>38.741509867791443</v>
      </c>
      <c r="F159" s="149">
        <f>F160+F180</f>
        <v>5.32</v>
      </c>
      <c r="G159" s="409"/>
      <c r="H159" s="409"/>
      <c r="I159" s="409"/>
      <c r="J159" s="409"/>
      <c r="K159" s="409"/>
      <c r="L159" s="409"/>
      <c r="M159" s="409"/>
      <c r="N159" s="409"/>
      <c r="O159" s="409"/>
      <c r="P159" s="149">
        <f t="shared" si="52"/>
        <v>333.9</v>
      </c>
      <c r="Q159" s="149">
        <f t="shared" si="52"/>
        <v>333.9</v>
      </c>
      <c r="S159" s="153">
        <f>SUMIF('Flt III'!D:D,A159,'Flt III'!E:E)/3.2808^2</f>
        <v>0</v>
      </c>
      <c r="T159" s="153">
        <f>SUMIF('Flt IIa'!A:A,A159,'Flt IIa'!E:E)/3.2808^2</f>
        <v>0</v>
      </c>
      <c r="U159" s="153">
        <f>SUMIF('OPC Des'!A:A,A159,'OPC Des'!F:F)/3.2808^2</f>
        <v>0</v>
      </c>
      <c r="V159" s="153">
        <f>SUMIF('LCS 5'!A:A,A159,'LCS 5'!E:E)</f>
        <v>0</v>
      </c>
      <c r="W159" s="153">
        <f>SUMIF('USCG Summary'!$A$25:$A$50,A159,'USCG Summary'!$D$25:$D$50)/3.2808^2</f>
        <v>0</v>
      </c>
      <c r="X159" s="153">
        <f>SUMIF('USCG Summary'!$A$25:$A$50,A159,'USCG Summary'!$I$25:$I$50)/3.2808^2</f>
        <v>0</v>
      </c>
      <c r="Y159" s="153">
        <f>SUMIF('USCG Summary'!$A$25:$A$50,A159,'USCG Summary'!$L$25:$L$50)/3.2808^2</f>
        <v>0</v>
      </c>
      <c r="Z159" s="153">
        <f>SUMIF('USCG Summary'!$A$25:$A$50,A159,'USCG Summary'!$O$25:$O$50)/3.2808^2</f>
        <v>0</v>
      </c>
      <c r="AA159" s="153">
        <f>SUMIF('USCG Summary'!$A$25:$A$50,A159,'USCG Summary'!$P$25:$P$50)/3.2808^2</f>
        <v>0</v>
      </c>
      <c r="AB159" s="153">
        <f>SUMIF('USCG Summary'!$A$25:$A$50,A159,'USCG Summary'!$Q$25:$Q$50)/3.2808^2</f>
        <v>0</v>
      </c>
      <c r="AC159" s="153">
        <f>SUMIF('USCG Summary'!$A$25:$A$50,A159,'USCG Summary'!$T$25:$T$50)/3.2808^2</f>
        <v>0</v>
      </c>
      <c r="AD159" s="153">
        <f>SUMIF('USCG Summary'!$A$25:$A$50,A159,'USCG Summary'!$W$25:$W$50)/3.2808^2</f>
        <v>0</v>
      </c>
      <c r="AE159" s="153">
        <f>SUMIF('USCG Summary'!$A$25:$A$50,A159,'USCG Summary'!$Z$25:$Z$50)/3.2808^2</f>
        <v>0</v>
      </c>
      <c r="AF159" s="153">
        <f>SUMIF(Comp!$A$75:$A$400,Areas!A159,Comp!$F$75:$F$400)</f>
        <v>333.9</v>
      </c>
      <c r="AG159" s="153">
        <f>SUMIF(Comp!$A$75:$A$400,Areas!A159,Comp!$G$75:$G$400)</f>
        <v>333.9</v>
      </c>
      <c r="AH159" s="153"/>
      <c r="AI159" s="153"/>
      <c r="AK159" s="133"/>
    </row>
    <row r="160" spans="1:37" s="132" customFormat="1">
      <c r="A160" s="142">
        <v>2.1110000000000002</v>
      </c>
      <c r="B160" s="132" t="str">
        <f>Comp!B163</f>
        <v>BERTHING</v>
      </c>
      <c r="C160" s="143">
        <f>SUM(C161)</f>
        <v>149.29881620513393</v>
      </c>
      <c r="D160" s="143">
        <f t="shared" ref="D160:F161" si="56">T160</f>
        <v>211.08084033482533</v>
      </c>
      <c r="E160" s="143">
        <f t="shared" si="56"/>
        <v>0</v>
      </c>
      <c r="F160" s="143">
        <f t="shared" si="56"/>
        <v>0</v>
      </c>
      <c r="G160" s="410"/>
      <c r="H160" s="410"/>
      <c r="I160" s="410"/>
      <c r="J160" s="410"/>
      <c r="K160" s="410"/>
      <c r="L160" s="410"/>
      <c r="M160" s="410"/>
      <c r="N160" s="410"/>
      <c r="O160" s="410"/>
      <c r="P160" s="143">
        <f t="shared" si="52"/>
        <v>295.3</v>
      </c>
      <c r="Q160" s="143">
        <f t="shared" si="52"/>
        <v>295.3</v>
      </c>
      <c r="S160" s="154">
        <f>SUMIF('Flt III'!D:D,A160,'Flt III'!E:E)/3.2808^2</f>
        <v>0</v>
      </c>
      <c r="T160" s="154">
        <f>SUMIF('Flt IIa'!A:A,A160,'Flt IIa'!E:E)/3.2808^2</f>
        <v>211.08084033482533</v>
      </c>
      <c r="U160" s="154">
        <f>SUMIF('OPC Des'!A:A,A160,'OPC Des'!F:F)/3.2808^2</f>
        <v>0</v>
      </c>
      <c r="V160" s="154">
        <f>SUMIF('LCS 5'!A:A,A160,'LCS 5'!E:E)</f>
        <v>0</v>
      </c>
      <c r="W160" s="154">
        <f>SUMIF('USCG Summary'!$A$25:$A$50,A160,'USCG Summary'!$D$25:$D$50)/3.2808^2</f>
        <v>0</v>
      </c>
      <c r="X160" s="154">
        <f>SUMIF('USCG Summary'!$A$25:$A$50,A160,'USCG Summary'!$I$25:$I$50)/3.2808^2</f>
        <v>0</v>
      </c>
      <c r="Y160" s="154">
        <f>SUMIF('USCG Summary'!$A$25:$A$50,A160,'USCG Summary'!$L$25:$L$50)/3.2808^2</f>
        <v>0</v>
      </c>
      <c r="Z160" s="154">
        <f>SUMIF('USCG Summary'!$A$25:$A$50,A160,'USCG Summary'!$O$25:$O$50)/3.2808^2</f>
        <v>0</v>
      </c>
      <c r="AA160" s="154">
        <f>SUMIF('USCG Summary'!$A$25:$A$50,A160,'USCG Summary'!$P$25:$P$50)/3.2808^2</f>
        <v>0</v>
      </c>
      <c r="AB160" s="154">
        <f>SUMIF('USCG Summary'!$A$25:$A$50,A160,'USCG Summary'!$Q$25:$Q$50)/3.2808^2</f>
        <v>0</v>
      </c>
      <c r="AC160" s="154">
        <f>SUMIF('USCG Summary'!$A$25:$A$50,A160,'USCG Summary'!$T$25:$T$50)/3.2808^2</f>
        <v>0</v>
      </c>
      <c r="AD160" s="154">
        <f>SUMIF('USCG Summary'!$A$25:$A$50,A160,'USCG Summary'!$W$25:$W$50)/3.2808^2</f>
        <v>0</v>
      </c>
      <c r="AE160" s="154">
        <f>SUMIF('USCG Summary'!$A$25:$A$50,A160,'USCG Summary'!$Z$25:$Z$50)/3.2808^2</f>
        <v>0</v>
      </c>
      <c r="AF160" s="154">
        <f>SUMIF(Comp!$A$75:$A$400,Areas!A160,Comp!$F$75:$F$400)</f>
        <v>295.3</v>
      </c>
      <c r="AG160" s="154">
        <f>SUMIF(Comp!$A$75:$A$400,Areas!A160,Comp!$G$75:$G$400)</f>
        <v>295.3</v>
      </c>
      <c r="AH160" s="154"/>
      <c r="AI160" s="154"/>
      <c r="AK160" s="143"/>
    </row>
    <row r="161" spans="1:37" s="148" customFormat="1">
      <c r="A161" s="146" t="s">
        <v>1200</v>
      </c>
      <c r="C161" s="147">
        <f>S161</f>
        <v>149.29881620513393</v>
      </c>
      <c r="D161" s="147">
        <f t="shared" si="56"/>
        <v>0</v>
      </c>
      <c r="E161" s="147">
        <f t="shared" si="56"/>
        <v>0</v>
      </c>
      <c r="F161" s="147">
        <f t="shared" si="56"/>
        <v>0</v>
      </c>
      <c r="G161" s="411"/>
      <c r="H161" s="411"/>
      <c r="I161" s="411"/>
      <c r="J161" s="411"/>
      <c r="K161" s="411"/>
      <c r="L161" s="411"/>
      <c r="M161" s="411"/>
      <c r="N161" s="411"/>
      <c r="O161" s="411"/>
      <c r="P161" s="147">
        <f t="shared" si="52"/>
        <v>0</v>
      </c>
      <c r="Q161" s="147">
        <f t="shared" si="52"/>
        <v>0</v>
      </c>
      <c r="S161" s="155">
        <f>SUMIF('Flt III'!D:D,A161,'Flt III'!E:E)/3.2808^2</f>
        <v>149.29881620513393</v>
      </c>
      <c r="T161" s="155">
        <f>SUMIF('Flt IIa'!A:A,A161,'Flt IIa'!E:E)/3.2808^2</f>
        <v>0</v>
      </c>
      <c r="U161" s="155">
        <f>SUMIF('OPC Des'!A:A,A161,'OPC Des'!F:F)/3.2808^2</f>
        <v>0</v>
      </c>
      <c r="V161" s="155">
        <f>SUMIF('LCS 5'!A:A,A161,'LCS 5'!E:E)</f>
        <v>0</v>
      </c>
      <c r="W161" s="155">
        <f>SUMIF('USCG Summary'!$A$25:$A$50,A161,'USCG Summary'!$D$25:$D$50)/3.2808^2</f>
        <v>0</v>
      </c>
      <c r="X161" s="155">
        <f>SUMIF('USCG Summary'!$A$25:$A$50,A161,'USCG Summary'!$I$25:$I$50)/3.2808^2</f>
        <v>0</v>
      </c>
      <c r="Y161" s="155">
        <f>SUMIF('USCG Summary'!$A$25:$A$50,A161,'USCG Summary'!$L$25:$L$50)/3.2808^2</f>
        <v>0</v>
      </c>
      <c r="Z161" s="155">
        <f>SUMIF('USCG Summary'!$A$25:$A$50,A161,'USCG Summary'!$O$25:$O$50)/3.2808^2</f>
        <v>0</v>
      </c>
      <c r="AA161" s="155">
        <f>SUMIF('USCG Summary'!$A$25:$A$50,A161,'USCG Summary'!$P$25:$P$50)/3.2808^2</f>
        <v>0</v>
      </c>
      <c r="AB161" s="155">
        <f>SUMIF('USCG Summary'!$A$25:$A$50,A161,'USCG Summary'!$Q$25:$Q$50)/3.2808^2</f>
        <v>0</v>
      </c>
      <c r="AC161" s="155">
        <f>SUMIF('USCG Summary'!$A$25:$A$50,A161,'USCG Summary'!$T$25:$T$50)/3.2808^2</f>
        <v>0</v>
      </c>
      <c r="AD161" s="155">
        <f>SUMIF('USCG Summary'!$A$25:$A$50,A161,'USCG Summary'!$W$25:$W$50)/3.2808^2</f>
        <v>0</v>
      </c>
      <c r="AE161" s="155">
        <f>SUMIF('USCG Summary'!$A$25:$A$50,A161,'USCG Summary'!$Z$25:$Z$50)/3.2808^2</f>
        <v>0</v>
      </c>
      <c r="AF161" s="155">
        <f>SUMIF(Comp!$A$75:$A$400,Areas!A161,Comp!$F$75:$F$400)</f>
        <v>0</v>
      </c>
      <c r="AG161" s="155">
        <f>SUMIF(Comp!$A$75:$A$400,Areas!A161,Comp!$G$75:$G$400)</f>
        <v>0</v>
      </c>
      <c r="AH161" s="155"/>
      <c r="AI161" s="155"/>
      <c r="AK161" s="147"/>
    </row>
    <row r="162" spans="1:37" s="141" customFormat="1">
      <c r="A162" s="144">
        <v>2.1111</v>
      </c>
      <c r="B162" s="141" t="str">
        <f>Comp!B164</f>
        <v>SHIP OFFICER</v>
      </c>
      <c r="C162" s="145">
        <f>SUM(C163:C177)+S162</f>
        <v>113.53027591952312</v>
      </c>
      <c r="D162" s="145">
        <f>SUM(D163:D177)+T162</f>
        <v>0</v>
      </c>
      <c r="E162" s="145">
        <f>SUM(E163:E177)+U162</f>
        <v>217.95583249361806</v>
      </c>
      <c r="F162" s="145">
        <f>SUM(F163:F177)+V162</f>
        <v>45.540000000000006</v>
      </c>
      <c r="G162" s="412"/>
      <c r="H162" s="412"/>
      <c r="I162" s="412"/>
      <c r="J162" s="412"/>
      <c r="K162" s="412"/>
      <c r="L162" s="412"/>
      <c r="M162" s="412"/>
      <c r="N162" s="412"/>
      <c r="O162" s="412"/>
      <c r="P162" s="145">
        <f t="shared" si="52"/>
        <v>295.3</v>
      </c>
      <c r="Q162" s="145">
        <f t="shared" si="52"/>
        <v>295.3</v>
      </c>
      <c r="S162" s="156">
        <f>SUMIF('Flt III'!D:D,A162,'Flt III'!E:E)/3.2808^2</f>
        <v>0</v>
      </c>
      <c r="T162" s="156">
        <f>SUMIF('Flt IIa'!A:A,A162,'Flt IIa'!E:E)/3.2808^2</f>
        <v>0</v>
      </c>
      <c r="U162" s="156">
        <f>SUMIF('OPC Des'!A:A,A162,'OPC Des'!F:F)/3.2808^2</f>
        <v>0</v>
      </c>
      <c r="V162" s="156">
        <f>SUMIF('LCS 5'!A:A,A162,'LCS 5'!E:E)</f>
        <v>0</v>
      </c>
      <c r="W162" s="156">
        <f>SUMIF('USCG Summary'!$A$25:$A$50,A162,'USCG Summary'!$D$25:$D$50)/3.2808^2</f>
        <v>0</v>
      </c>
      <c r="X162" s="156">
        <f>SUMIF('USCG Summary'!$A$25:$A$50,A162,'USCG Summary'!$I$25:$I$50)/3.2808^2</f>
        <v>0</v>
      </c>
      <c r="Y162" s="156">
        <f>SUMIF('USCG Summary'!$A$25:$A$50,A162,'USCG Summary'!$L$25:$L$50)/3.2808^2</f>
        <v>0</v>
      </c>
      <c r="Z162" s="156">
        <f>SUMIF('USCG Summary'!$A$25:$A$50,A162,'USCG Summary'!$O$25:$O$50)/3.2808^2</f>
        <v>0</v>
      </c>
      <c r="AA162" s="156">
        <f>SUMIF('USCG Summary'!$A$25:$A$50,A162,'USCG Summary'!$P$25:$P$50)/3.2808^2</f>
        <v>0</v>
      </c>
      <c r="AB162" s="156">
        <f>SUMIF('USCG Summary'!$A$25:$A$50,A162,'USCG Summary'!$Q$25:$Q$50)/3.2808^2</f>
        <v>0</v>
      </c>
      <c r="AC162" s="156">
        <f>SUMIF('USCG Summary'!$A$25:$A$50,A162,'USCG Summary'!$T$25:$T$50)/3.2808^2</f>
        <v>0</v>
      </c>
      <c r="AD162" s="156">
        <f>SUMIF('USCG Summary'!$A$25:$A$50,A162,'USCG Summary'!$W$25:$W$50)/3.2808^2</f>
        <v>0</v>
      </c>
      <c r="AE162" s="156">
        <f>SUMIF('USCG Summary'!$A$25:$A$50,A162,'USCG Summary'!$Z$25:$Z$50)/3.2808^2</f>
        <v>0</v>
      </c>
      <c r="AF162" s="156">
        <f>SUMIF(Comp!$A$75:$A$400,Areas!A162,Comp!$F$75:$F$400)</f>
        <v>295.3</v>
      </c>
      <c r="AG162" s="156">
        <f>SUMIF(Comp!$A$75:$A$400,Areas!A162,Comp!$G$75:$G$400)</f>
        <v>295.3</v>
      </c>
      <c r="AH162" s="156"/>
      <c r="AI162" s="156"/>
      <c r="AK162" s="145">
        <f>SUM(AK163:AK177)+AI162</f>
        <v>0</v>
      </c>
    </row>
    <row r="163" spans="1:37" s="148" customFormat="1">
      <c r="A163" s="146">
        <v>2.1111100999999999</v>
      </c>
      <c r="B163" s="148" t="str">
        <f>Comp!B165</f>
        <v>COMMANDING OFFICER CABIN</v>
      </c>
      <c r="C163" s="147">
        <f t="shared" ref="C163:F177" si="57">S163</f>
        <v>0</v>
      </c>
      <c r="D163" s="147">
        <f t="shared" si="57"/>
        <v>0</v>
      </c>
      <c r="E163" s="147">
        <f t="shared" si="57"/>
        <v>30.565843516794686</v>
      </c>
      <c r="F163" s="147">
        <f t="shared" si="57"/>
        <v>0</v>
      </c>
      <c r="G163" s="411"/>
      <c r="H163" s="411"/>
      <c r="I163" s="411"/>
      <c r="J163" s="411"/>
      <c r="K163" s="411"/>
      <c r="L163" s="411"/>
      <c r="M163" s="411"/>
      <c r="N163" s="411"/>
      <c r="O163" s="411"/>
      <c r="P163" s="147">
        <f t="shared" si="52"/>
        <v>28.3</v>
      </c>
      <c r="Q163" s="147">
        <f t="shared" si="52"/>
        <v>28.3</v>
      </c>
      <c r="S163" s="155">
        <f>SUMIF('Flt III'!D:D,A163,'Flt III'!E:E)/3.2808^2</f>
        <v>0</v>
      </c>
      <c r="T163" s="155">
        <f>SUMIF('Flt IIa'!A:A,A163,'Flt IIa'!E:E)/3.2808^2</f>
        <v>0</v>
      </c>
      <c r="U163" s="155">
        <f>SUMIF('OPC Des'!A:A,A163,'OPC Des'!F:F)/3.2808^2</f>
        <v>30.565843516794686</v>
      </c>
      <c r="V163" s="155">
        <f>SUMIF('LCS 5'!A:A,A163,'LCS 5'!E:E)</f>
        <v>0</v>
      </c>
      <c r="W163" s="155">
        <f>SUMIF('USCG Summary'!$A$25:$A$50,A163,'USCG Summary'!$D$25:$D$50)/3.2808^2</f>
        <v>0</v>
      </c>
      <c r="X163" s="155">
        <f>SUMIF('USCG Summary'!$A$25:$A$50,A163,'USCG Summary'!$I$25:$I$50)/3.2808^2</f>
        <v>0</v>
      </c>
      <c r="Y163" s="155">
        <f>SUMIF('USCG Summary'!$A$25:$A$50,A163,'USCG Summary'!$L$25:$L$50)/3.2808^2</f>
        <v>0</v>
      </c>
      <c r="Z163" s="155">
        <f>SUMIF('USCG Summary'!$A$25:$A$50,A163,'USCG Summary'!$O$25:$O$50)/3.2808^2</f>
        <v>0</v>
      </c>
      <c r="AA163" s="155">
        <f>SUMIF('USCG Summary'!$A$25:$A$50,A163,'USCG Summary'!$P$25:$P$50)/3.2808^2</f>
        <v>0</v>
      </c>
      <c r="AB163" s="155">
        <f>SUMIF('USCG Summary'!$A$25:$A$50,A163,'USCG Summary'!$Q$25:$Q$50)/3.2808^2</f>
        <v>0</v>
      </c>
      <c r="AC163" s="155">
        <f>SUMIF('USCG Summary'!$A$25:$A$50,A163,'USCG Summary'!$T$25:$T$50)/3.2808^2</f>
        <v>0</v>
      </c>
      <c r="AD163" s="155">
        <f>SUMIF('USCG Summary'!$A$25:$A$50,A163,'USCG Summary'!$W$25:$W$50)/3.2808^2</f>
        <v>0</v>
      </c>
      <c r="AE163" s="155">
        <f>SUMIF('USCG Summary'!$A$25:$A$50,A163,'USCG Summary'!$Z$25:$Z$50)/3.2808^2</f>
        <v>0</v>
      </c>
      <c r="AF163" s="155">
        <f>SUMIF(Comp!$A$75:$A$400,Areas!A163,Comp!$F$75:$F$400)</f>
        <v>28.3</v>
      </c>
      <c r="AG163" s="155">
        <f>SUMIF(Comp!$A$75:$A$400,Areas!A163,Comp!$G$75:$G$400)</f>
        <v>28.3</v>
      </c>
      <c r="AH163" s="155"/>
      <c r="AI163" s="155"/>
      <c r="AK163" s="147"/>
    </row>
    <row r="164" spans="1:37" s="148" customFormat="1">
      <c r="A164" s="146" t="s">
        <v>1197</v>
      </c>
      <c r="C164" s="147">
        <f t="shared" si="57"/>
        <v>13.006741922040293</v>
      </c>
      <c r="D164" s="147">
        <f t="shared" si="57"/>
        <v>0</v>
      </c>
      <c r="E164" s="147">
        <f t="shared" si="57"/>
        <v>0</v>
      </c>
      <c r="F164" s="147">
        <f t="shared" si="57"/>
        <v>0</v>
      </c>
      <c r="G164" s="411"/>
      <c r="H164" s="411"/>
      <c r="I164" s="411"/>
      <c r="J164" s="411"/>
      <c r="K164" s="411"/>
      <c r="L164" s="411"/>
      <c r="M164" s="411"/>
      <c r="N164" s="411"/>
      <c r="O164" s="411"/>
      <c r="P164" s="147">
        <f t="shared" si="52"/>
        <v>0</v>
      </c>
      <c r="Q164" s="147">
        <f t="shared" si="52"/>
        <v>0</v>
      </c>
      <c r="S164" s="155">
        <f>SUMIF('Flt III'!D:D,A164,'Flt III'!E:E)/3.2808^2</f>
        <v>13.006741922040293</v>
      </c>
      <c r="T164" s="155">
        <f>SUMIF('Flt IIa'!A:A,A164,'Flt IIa'!E:E)/3.2808^2</f>
        <v>0</v>
      </c>
      <c r="U164" s="155">
        <f>SUMIF('OPC Des'!A:A,A164,'OPC Des'!F:F)/3.2808^2</f>
        <v>0</v>
      </c>
      <c r="V164" s="155">
        <f>SUMIF('LCS 5'!A:A,A164,'LCS 5'!E:E)</f>
        <v>0</v>
      </c>
      <c r="W164" s="155">
        <f>SUMIF('USCG Summary'!$A$25:$A$50,A164,'USCG Summary'!$D$25:$D$50)/3.2808^2</f>
        <v>0</v>
      </c>
      <c r="X164" s="155">
        <f>SUMIF('USCG Summary'!$A$25:$A$50,A164,'USCG Summary'!$I$25:$I$50)/3.2808^2</f>
        <v>0</v>
      </c>
      <c r="Y164" s="155">
        <f>SUMIF('USCG Summary'!$A$25:$A$50,A164,'USCG Summary'!$L$25:$L$50)/3.2808^2</f>
        <v>0</v>
      </c>
      <c r="Z164" s="155">
        <f>SUMIF('USCG Summary'!$A$25:$A$50,A164,'USCG Summary'!$O$25:$O$50)/3.2808^2</f>
        <v>0</v>
      </c>
      <c r="AA164" s="155">
        <f>SUMIF('USCG Summary'!$A$25:$A$50,A164,'USCG Summary'!$P$25:$P$50)/3.2808^2</f>
        <v>0</v>
      </c>
      <c r="AB164" s="155">
        <f>SUMIF('USCG Summary'!$A$25:$A$50,A164,'USCG Summary'!$Q$25:$Q$50)/3.2808^2</f>
        <v>0</v>
      </c>
      <c r="AC164" s="155">
        <f>SUMIF('USCG Summary'!$A$25:$A$50,A164,'USCG Summary'!$T$25:$T$50)/3.2808^2</f>
        <v>0</v>
      </c>
      <c r="AD164" s="155">
        <f>SUMIF('USCG Summary'!$A$25:$A$50,A164,'USCG Summary'!$W$25:$W$50)/3.2808^2</f>
        <v>0</v>
      </c>
      <c r="AE164" s="155">
        <f>SUMIF('USCG Summary'!$A$25:$A$50,A164,'USCG Summary'!$Z$25:$Z$50)/3.2808^2</f>
        <v>0</v>
      </c>
      <c r="AF164" s="155">
        <f>SUMIF(Comp!$A$75:$A$400,Areas!A164,Comp!$F$75:$F$400)</f>
        <v>0</v>
      </c>
      <c r="AG164" s="155">
        <f>SUMIF(Comp!$A$75:$A$400,Areas!A164,Comp!$G$75:$G$400)</f>
        <v>0</v>
      </c>
      <c r="AH164" s="155"/>
      <c r="AI164" s="155"/>
      <c r="AK164" s="147"/>
    </row>
    <row r="165" spans="1:37" s="148" customFormat="1">
      <c r="A165" s="146" t="s">
        <v>1194</v>
      </c>
      <c r="C165" s="147">
        <f t="shared" si="57"/>
        <v>17.837817493083829</v>
      </c>
      <c r="D165" s="147">
        <f t="shared" si="57"/>
        <v>0</v>
      </c>
      <c r="E165" s="147">
        <f t="shared" si="57"/>
        <v>0</v>
      </c>
      <c r="F165" s="147">
        <f t="shared" si="57"/>
        <v>0</v>
      </c>
      <c r="G165" s="411"/>
      <c r="H165" s="411"/>
      <c r="I165" s="411"/>
      <c r="J165" s="411"/>
      <c r="K165" s="411"/>
      <c r="L165" s="411"/>
      <c r="M165" s="411"/>
      <c r="N165" s="411"/>
      <c r="O165" s="411"/>
      <c r="P165" s="147">
        <f t="shared" si="52"/>
        <v>0</v>
      </c>
      <c r="Q165" s="147">
        <f t="shared" si="52"/>
        <v>0</v>
      </c>
      <c r="S165" s="155">
        <f>SUMIF('Flt III'!D:D,A165,'Flt III'!E:E)/3.2808^2</f>
        <v>17.837817493083829</v>
      </c>
      <c r="T165" s="155">
        <f>SUMIF('Flt IIa'!A:A,A165,'Flt IIa'!E:E)/3.2808^2</f>
        <v>0</v>
      </c>
      <c r="U165" s="155">
        <f>SUMIF('OPC Des'!A:A,A165,'OPC Des'!F:F)/3.2808^2</f>
        <v>0</v>
      </c>
      <c r="V165" s="155">
        <f>SUMIF('LCS 5'!A:A,A165,'LCS 5'!E:E)</f>
        <v>0</v>
      </c>
      <c r="W165" s="155">
        <f>SUMIF('USCG Summary'!$A$25:$A$50,A165,'USCG Summary'!$D$25:$D$50)/3.2808^2</f>
        <v>0</v>
      </c>
      <c r="X165" s="155">
        <f>SUMIF('USCG Summary'!$A$25:$A$50,A165,'USCG Summary'!$I$25:$I$50)/3.2808^2</f>
        <v>0</v>
      </c>
      <c r="Y165" s="155">
        <f>SUMIF('USCG Summary'!$A$25:$A$50,A165,'USCG Summary'!$L$25:$L$50)/3.2808^2</f>
        <v>0</v>
      </c>
      <c r="Z165" s="155">
        <f>SUMIF('USCG Summary'!$A$25:$A$50,A165,'USCG Summary'!$O$25:$O$50)/3.2808^2</f>
        <v>0</v>
      </c>
      <c r="AA165" s="155">
        <f>SUMIF('USCG Summary'!$A$25:$A$50,A165,'USCG Summary'!$P$25:$P$50)/3.2808^2</f>
        <v>0</v>
      </c>
      <c r="AB165" s="155">
        <f>SUMIF('USCG Summary'!$A$25:$A$50,A165,'USCG Summary'!$Q$25:$Q$50)/3.2808^2</f>
        <v>0</v>
      </c>
      <c r="AC165" s="155">
        <f>SUMIF('USCG Summary'!$A$25:$A$50,A165,'USCG Summary'!$T$25:$T$50)/3.2808^2</f>
        <v>0</v>
      </c>
      <c r="AD165" s="155">
        <f>SUMIF('USCG Summary'!$A$25:$A$50,A165,'USCG Summary'!$W$25:$W$50)/3.2808^2</f>
        <v>0</v>
      </c>
      <c r="AE165" s="155">
        <f>SUMIF('USCG Summary'!$A$25:$A$50,A165,'USCG Summary'!$Z$25:$Z$50)/3.2808^2</f>
        <v>0</v>
      </c>
      <c r="AF165" s="155">
        <f>SUMIF(Comp!$A$75:$A$400,Areas!A165,Comp!$F$75:$F$400)</f>
        <v>0</v>
      </c>
      <c r="AG165" s="155">
        <f>SUMIF(Comp!$A$75:$A$400,Areas!A165,Comp!$G$75:$G$400)</f>
        <v>0</v>
      </c>
      <c r="AH165" s="155"/>
      <c r="AI165" s="155"/>
      <c r="AK165" s="147"/>
    </row>
    <row r="166" spans="1:37" s="148" customFormat="1">
      <c r="A166" s="146">
        <v>2.1111103999999998</v>
      </c>
      <c r="B166" s="148" t="str">
        <f>Comp!B166</f>
        <v>COMMANDING OFFICER STATEROOM</v>
      </c>
      <c r="C166" s="147">
        <f t="shared" si="57"/>
        <v>0</v>
      </c>
      <c r="D166" s="147">
        <f t="shared" si="57"/>
        <v>0</v>
      </c>
      <c r="E166" s="147">
        <f t="shared" si="57"/>
        <v>13.749984317585453</v>
      </c>
      <c r="F166" s="147">
        <f t="shared" si="57"/>
        <v>17.190000000000001</v>
      </c>
      <c r="G166" s="411"/>
      <c r="H166" s="411"/>
      <c r="I166" s="411"/>
      <c r="J166" s="411"/>
      <c r="K166" s="411"/>
      <c r="L166" s="411"/>
      <c r="M166" s="411"/>
      <c r="N166" s="411"/>
      <c r="O166" s="411"/>
      <c r="P166" s="147">
        <f t="shared" si="52"/>
        <v>16.3</v>
      </c>
      <c r="Q166" s="147">
        <f t="shared" si="52"/>
        <v>16.3</v>
      </c>
      <c r="S166" s="155">
        <f>SUMIF('Flt III'!D:D,A166,'Flt III'!E:E)/3.2808^2</f>
        <v>0</v>
      </c>
      <c r="T166" s="155">
        <f>SUMIF('Flt IIa'!A:A,A166,'Flt IIa'!E:E)/3.2808^2</f>
        <v>0</v>
      </c>
      <c r="U166" s="155">
        <f>SUMIF('OPC Des'!A:A,A166,'OPC Des'!F:F)/3.2808^2</f>
        <v>13.749984317585453</v>
      </c>
      <c r="V166" s="155">
        <f>SUMIF('LCS 5'!A:A,A166,'LCS 5'!E:E)</f>
        <v>17.190000000000001</v>
      </c>
      <c r="W166" s="155">
        <f>SUMIF('USCG Summary'!$A$25:$A$50,A166,'USCG Summary'!$D$25:$D$50)/3.2808^2</f>
        <v>0</v>
      </c>
      <c r="X166" s="155">
        <f>SUMIF('USCG Summary'!$A$25:$A$50,A166,'USCG Summary'!$I$25:$I$50)/3.2808^2</f>
        <v>0</v>
      </c>
      <c r="Y166" s="155">
        <f>SUMIF('USCG Summary'!$A$25:$A$50,A166,'USCG Summary'!$L$25:$L$50)/3.2808^2</f>
        <v>0</v>
      </c>
      <c r="Z166" s="155">
        <f>SUMIF('USCG Summary'!$A$25:$A$50,A166,'USCG Summary'!$O$25:$O$50)/3.2808^2</f>
        <v>0</v>
      </c>
      <c r="AA166" s="155">
        <f>SUMIF('USCG Summary'!$A$25:$A$50,A166,'USCG Summary'!$P$25:$P$50)/3.2808^2</f>
        <v>0</v>
      </c>
      <c r="AB166" s="155">
        <f>SUMIF('USCG Summary'!$A$25:$A$50,A166,'USCG Summary'!$Q$25:$Q$50)/3.2808^2</f>
        <v>0</v>
      </c>
      <c r="AC166" s="155">
        <f>SUMIF('USCG Summary'!$A$25:$A$50,A166,'USCG Summary'!$T$25:$T$50)/3.2808^2</f>
        <v>0</v>
      </c>
      <c r="AD166" s="155">
        <f>SUMIF('USCG Summary'!$A$25:$A$50,A166,'USCG Summary'!$W$25:$W$50)/3.2808^2</f>
        <v>0</v>
      </c>
      <c r="AE166" s="155">
        <f>SUMIF('USCG Summary'!$A$25:$A$50,A166,'USCG Summary'!$Z$25:$Z$50)/3.2808^2</f>
        <v>0</v>
      </c>
      <c r="AF166" s="155">
        <f>SUMIF(Comp!$A$75:$A$400,Areas!A166,Comp!$F$75:$F$400)</f>
        <v>16.3</v>
      </c>
      <c r="AG166" s="155">
        <f>SUMIF(Comp!$A$75:$A$400,Areas!A166,Comp!$G$75:$G$400)</f>
        <v>16.3</v>
      </c>
      <c r="AH166" s="155"/>
      <c r="AI166" s="155"/>
      <c r="AK166" s="147"/>
    </row>
    <row r="167" spans="1:37" s="148" customFormat="1">
      <c r="A167" s="146" t="s">
        <v>1191</v>
      </c>
      <c r="C167" s="147">
        <f t="shared" si="57"/>
        <v>14.307416114244322</v>
      </c>
      <c r="D167" s="147">
        <f t="shared" si="57"/>
        <v>0</v>
      </c>
      <c r="E167" s="147">
        <f t="shared" si="57"/>
        <v>0</v>
      </c>
      <c r="F167" s="147">
        <f t="shared" si="57"/>
        <v>0</v>
      </c>
      <c r="G167" s="411"/>
      <c r="H167" s="411"/>
      <c r="I167" s="411"/>
      <c r="J167" s="411"/>
      <c r="K167" s="411"/>
      <c r="L167" s="411"/>
      <c r="M167" s="411"/>
      <c r="N167" s="411"/>
      <c r="O167" s="411"/>
      <c r="P167" s="147">
        <f t="shared" si="52"/>
        <v>0</v>
      </c>
      <c r="Q167" s="147">
        <f t="shared" si="52"/>
        <v>0</v>
      </c>
      <c r="S167" s="155">
        <f>SUMIF('Flt III'!D:D,A167,'Flt III'!E:E)/3.2808^2</f>
        <v>14.307416114244322</v>
      </c>
      <c r="T167" s="155">
        <f>SUMIF('Flt IIa'!A:A,A167,'Flt IIa'!E:E)/3.2808^2</f>
        <v>0</v>
      </c>
      <c r="U167" s="155">
        <f>SUMIF('OPC Des'!A:A,A167,'OPC Des'!F:F)/3.2808^2</f>
        <v>0</v>
      </c>
      <c r="V167" s="155">
        <f>SUMIF('LCS 5'!A:A,A167,'LCS 5'!E:E)</f>
        <v>0</v>
      </c>
      <c r="W167" s="155">
        <f>SUMIF('USCG Summary'!$A$25:$A$50,A167,'USCG Summary'!$D$25:$D$50)/3.2808^2</f>
        <v>0</v>
      </c>
      <c r="X167" s="155">
        <f>SUMIF('USCG Summary'!$A$25:$A$50,A167,'USCG Summary'!$I$25:$I$50)/3.2808^2</f>
        <v>0</v>
      </c>
      <c r="Y167" s="155">
        <f>SUMIF('USCG Summary'!$A$25:$A$50,A167,'USCG Summary'!$L$25:$L$50)/3.2808^2</f>
        <v>0</v>
      </c>
      <c r="Z167" s="155">
        <f>SUMIF('USCG Summary'!$A$25:$A$50,A167,'USCG Summary'!$O$25:$O$50)/3.2808^2</f>
        <v>0</v>
      </c>
      <c r="AA167" s="155">
        <f>SUMIF('USCG Summary'!$A$25:$A$50,A167,'USCG Summary'!$P$25:$P$50)/3.2808^2</f>
        <v>0</v>
      </c>
      <c r="AB167" s="155">
        <f>SUMIF('USCG Summary'!$A$25:$A$50,A167,'USCG Summary'!$Q$25:$Q$50)/3.2808^2</f>
        <v>0</v>
      </c>
      <c r="AC167" s="155">
        <f>SUMIF('USCG Summary'!$A$25:$A$50,A167,'USCG Summary'!$T$25:$T$50)/3.2808^2</f>
        <v>0</v>
      </c>
      <c r="AD167" s="155">
        <f>SUMIF('USCG Summary'!$A$25:$A$50,A167,'USCG Summary'!$W$25:$W$50)/3.2808^2</f>
        <v>0</v>
      </c>
      <c r="AE167" s="155">
        <f>SUMIF('USCG Summary'!$A$25:$A$50,A167,'USCG Summary'!$Z$25:$Z$50)/3.2808^2</f>
        <v>0</v>
      </c>
      <c r="AF167" s="155">
        <f>SUMIF(Comp!$A$75:$A$400,Areas!A167,Comp!$F$75:$F$400)</f>
        <v>0</v>
      </c>
      <c r="AG167" s="155">
        <f>SUMIF(Comp!$A$75:$A$400,Areas!A167,Comp!$G$75:$G$400)</f>
        <v>0</v>
      </c>
      <c r="AH167" s="155"/>
      <c r="AI167" s="155"/>
      <c r="AK167" s="147"/>
    </row>
    <row r="168" spans="1:37" s="148" customFormat="1">
      <c r="A168" s="146">
        <v>2.1111206</v>
      </c>
      <c r="B168" s="148" t="str">
        <f>Comp!B167</f>
        <v>EXECUTIVE OFFICER STATEROOM</v>
      </c>
      <c r="C168" s="147">
        <f t="shared" si="57"/>
        <v>13.192552520926583</v>
      </c>
      <c r="D168" s="147">
        <f t="shared" si="57"/>
        <v>0</v>
      </c>
      <c r="E168" s="147">
        <f t="shared" si="57"/>
        <v>23.597946058558819</v>
      </c>
      <c r="F168" s="147">
        <f t="shared" si="57"/>
        <v>13.16</v>
      </c>
      <c r="G168" s="411"/>
      <c r="H168" s="411"/>
      <c r="I168" s="411"/>
      <c r="J168" s="411"/>
      <c r="K168" s="411"/>
      <c r="L168" s="411"/>
      <c r="M168" s="411"/>
      <c r="N168" s="411"/>
      <c r="O168" s="411"/>
      <c r="P168" s="147">
        <f t="shared" ref="P168:Q231" si="58">AF168</f>
        <v>13.9</v>
      </c>
      <c r="Q168" s="147">
        <f t="shared" si="58"/>
        <v>13.9</v>
      </c>
      <c r="S168" s="155">
        <f>SUMIF('Flt III'!D:D,A168,'Flt III'!E:E)/3.2808^2</f>
        <v>13.192552520926583</v>
      </c>
      <c r="T168" s="155">
        <f>SUMIF('Flt IIa'!A:A,A168,'Flt IIa'!E:E)/3.2808^2</f>
        <v>0</v>
      </c>
      <c r="U168" s="155">
        <f>SUMIF('OPC Des'!A:A,A168,'OPC Des'!F:F)/3.2808^2</f>
        <v>23.597946058558819</v>
      </c>
      <c r="V168" s="155">
        <f>SUMIF('LCS 5'!A:A,A168,'LCS 5'!E:E)</f>
        <v>13.16</v>
      </c>
      <c r="W168" s="155">
        <f>SUMIF('USCG Summary'!$A$25:$A$50,A168,'USCG Summary'!$D$25:$D$50)/3.2808^2</f>
        <v>0</v>
      </c>
      <c r="X168" s="155">
        <f>SUMIF('USCG Summary'!$A$25:$A$50,A168,'USCG Summary'!$I$25:$I$50)/3.2808^2</f>
        <v>0</v>
      </c>
      <c r="Y168" s="155">
        <f>SUMIF('USCG Summary'!$A$25:$A$50,A168,'USCG Summary'!$L$25:$L$50)/3.2808^2</f>
        <v>0</v>
      </c>
      <c r="Z168" s="155">
        <f>SUMIF('USCG Summary'!$A$25:$A$50,A168,'USCG Summary'!$O$25:$O$50)/3.2808^2</f>
        <v>0</v>
      </c>
      <c r="AA168" s="155">
        <f>SUMIF('USCG Summary'!$A$25:$A$50,A168,'USCG Summary'!$P$25:$P$50)/3.2808^2</f>
        <v>0</v>
      </c>
      <c r="AB168" s="155">
        <f>SUMIF('USCG Summary'!$A$25:$A$50,A168,'USCG Summary'!$Q$25:$Q$50)/3.2808^2</f>
        <v>0</v>
      </c>
      <c r="AC168" s="155">
        <f>SUMIF('USCG Summary'!$A$25:$A$50,A168,'USCG Summary'!$T$25:$T$50)/3.2808^2</f>
        <v>0</v>
      </c>
      <c r="AD168" s="155">
        <f>SUMIF('USCG Summary'!$A$25:$A$50,A168,'USCG Summary'!$W$25:$W$50)/3.2808^2</f>
        <v>0</v>
      </c>
      <c r="AE168" s="155">
        <f>SUMIF('USCG Summary'!$A$25:$A$50,A168,'USCG Summary'!$Z$25:$Z$50)/3.2808^2</f>
        <v>0</v>
      </c>
      <c r="AF168" s="155">
        <f>SUMIF(Comp!$A$75:$A$400,Areas!A168,Comp!$F$75:$F$400)</f>
        <v>13.9</v>
      </c>
      <c r="AG168" s="155">
        <f>SUMIF(Comp!$A$75:$A$400,Areas!A168,Comp!$G$75:$G$400)</f>
        <v>13.9</v>
      </c>
      <c r="AH168" s="155"/>
      <c r="AI168" s="155"/>
      <c r="AK168" s="147"/>
    </row>
    <row r="169" spans="1:37" s="148" customFormat="1">
      <c r="A169" s="146" t="s">
        <v>1188</v>
      </c>
      <c r="C169" s="147">
        <f t="shared" si="57"/>
        <v>13.192552520926583</v>
      </c>
      <c r="D169" s="147">
        <f t="shared" si="57"/>
        <v>0</v>
      </c>
      <c r="E169" s="147">
        <f t="shared" si="57"/>
        <v>23.597946058558819</v>
      </c>
      <c r="F169" s="147">
        <f t="shared" si="57"/>
        <v>13.16</v>
      </c>
      <c r="G169" s="411"/>
      <c r="H169" s="411"/>
      <c r="I169" s="411"/>
      <c r="J169" s="411"/>
      <c r="K169" s="411"/>
      <c r="L169" s="411"/>
      <c r="M169" s="411"/>
      <c r="N169" s="411"/>
      <c r="O169" s="411"/>
      <c r="P169" s="147">
        <f t="shared" si="58"/>
        <v>13.9</v>
      </c>
      <c r="Q169" s="147">
        <f t="shared" si="58"/>
        <v>13.9</v>
      </c>
      <c r="S169" s="155">
        <f>SUMIF('Flt III'!D:D,A169,'Flt III'!E:E)/3.2808^2</f>
        <v>13.192552520926583</v>
      </c>
      <c r="T169" s="155">
        <f>SUMIF('Flt IIa'!A:A,A169,'Flt IIa'!E:E)/3.2808^2</f>
        <v>0</v>
      </c>
      <c r="U169" s="155">
        <f>SUMIF('OPC Des'!A:A,A169,'OPC Des'!F:F)/3.2808^2</f>
        <v>23.597946058558819</v>
      </c>
      <c r="V169" s="155">
        <f>SUMIF('LCS 5'!A:A,A169,'LCS 5'!E:E)</f>
        <v>13.16</v>
      </c>
      <c r="W169" s="155">
        <f>SUMIF('USCG Summary'!$A$25:$A$50,A169,'USCG Summary'!$D$25:$D$50)/3.2808^2</f>
        <v>0</v>
      </c>
      <c r="X169" s="155">
        <f>SUMIF('USCG Summary'!$A$25:$A$50,A169,'USCG Summary'!$I$25:$I$50)/3.2808^2</f>
        <v>0</v>
      </c>
      <c r="Y169" s="155">
        <f>SUMIF('USCG Summary'!$A$25:$A$50,A169,'USCG Summary'!$L$25:$L$50)/3.2808^2</f>
        <v>0</v>
      </c>
      <c r="Z169" s="155">
        <f>SUMIF('USCG Summary'!$A$25:$A$50,A169,'USCG Summary'!$O$25:$O$50)/3.2808^2</f>
        <v>0</v>
      </c>
      <c r="AA169" s="155">
        <f>SUMIF('USCG Summary'!$A$25:$A$50,A169,'USCG Summary'!$P$25:$P$50)/3.2808^2</f>
        <v>0</v>
      </c>
      <c r="AB169" s="155">
        <f>SUMIF('USCG Summary'!$A$25:$A$50,A169,'USCG Summary'!$Q$25:$Q$50)/3.2808^2</f>
        <v>0</v>
      </c>
      <c r="AC169" s="155">
        <f>SUMIF('USCG Summary'!$A$25:$A$50,A169,'USCG Summary'!$T$25:$T$50)/3.2808^2</f>
        <v>0</v>
      </c>
      <c r="AD169" s="155">
        <f>SUMIF('USCG Summary'!$A$25:$A$50,A169,'USCG Summary'!$W$25:$W$50)/3.2808^2</f>
        <v>0</v>
      </c>
      <c r="AE169" s="155">
        <f>SUMIF('USCG Summary'!$A$25:$A$50,A169,'USCG Summary'!$Z$25:$Z$50)/3.2808^2</f>
        <v>0</v>
      </c>
      <c r="AF169" s="155">
        <f>SUMIF(Comp!$A$75:$A$400,Areas!A169,Comp!$F$75:$F$400)</f>
        <v>13.9</v>
      </c>
      <c r="AG169" s="155">
        <f>SUMIF(Comp!$A$75:$A$400,Areas!A169,Comp!$G$75:$G$400)</f>
        <v>13.9</v>
      </c>
      <c r="AH169" s="155"/>
      <c r="AI169" s="155"/>
      <c r="AK169" s="147"/>
    </row>
    <row r="170" spans="1:37" s="148" customFormat="1">
      <c r="A170" s="146">
        <v>2.1111230000000001</v>
      </c>
      <c r="B170" s="148" t="str">
        <f>Comp!B168</f>
        <v>DEPARTMENT HEAD STATEROOM</v>
      </c>
      <c r="C170" s="147">
        <f t="shared" si="57"/>
        <v>0</v>
      </c>
      <c r="D170" s="147">
        <f t="shared" si="57"/>
        <v>0</v>
      </c>
      <c r="E170" s="147">
        <f t="shared" si="57"/>
        <v>0</v>
      </c>
      <c r="F170" s="147">
        <f t="shared" si="57"/>
        <v>0</v>
      </c>
      <c r="G170" s="411"/>
      <c r="H170" s="411"/>
      <c r="I170" s="411"/>
      <c r="J170" s="411"/>
      <c r="K170" s="411"/>
      <c r="L170" s="411"/>
      <c r="M170" s="411"/>
      <c r="N170" s="411"/>
      <c r="O170" s="411"/>
      <c r="P170" s="147">
        <f t="shared" si="58"/>
        <v>44.6</v>
      </c>
      <c r="Q170" s="147">
        <f t="shared" si="58"/>
        <v>44.6</v>
      </c>
      <c r="S170" s="155">
        <f>SUMIF('Flt III'!D:D,A170,'Flt III'!E:E)/3.2808^2</f>
        <v>0</v>
      </c>
      <c r="T170" s="155">
        <f>SUMIF('Flt IIa'!A:A,A170,'Flt IIa'!E:E)/3.2808^2</f>
        <v>0</v>
      </c>
      <c r="U170" s="155">
        <f>SUMIF('OPC Des'!A:A,A170,'OPC Des'!F:F)/3.2808^2</f>
        <v>0</v>
      </c>
      <c r="V170" s="155">
        <f>SUMIF('LCS 5'!A:A,A170,'LCS 5'!E:E)</f>
        <v>0</v>
      </c>
      <c r="W170" s="155">
        <f>SUMIF('USCG Summary'!$A$25:$A$50,A170,'USCG Summary'!$D$25:$D$50)/3.2808^2</f>
        <v>0</v>
      </c>
      <c r="X170" s="155">
        <f>SUMIF('USCG Summary'!$A$25:$A$50,A170,'USCG Summary'!$I$25:$I$50)/3.2808^2</f>
        <v>0</v>
      </c>
      <c r="Y170" s="155">
        <f>SUMIF('USCG Summary'!$A$25:$A$50,A170,'USCG Summary'!$L$25:$L$50)/3.2808^2</f>
        <v>0</v>
      </c>
      <c r="Z170" s="155">
        <f>SUMIF('USCG Summary'!$A$25:$A$50,A170,'USCG Summary'!$O$25:$O$50)/3.2808^2</f>
        <v>0</v>
      </c>
      <c r="AA170" s="155">
        <f>SUMIF('USCG Summary'!$A$25:$A$50,A170,'USCG Summary'!$P$25:$P$50)/3.2808^2</f>
        <v>0</v>
      </c>
      <c r="AB170" s="155">
        <f>SUMIF('USCG Summary'!$A$25:$A$50,A170,'USCG Summary'!$Q$25:$Q$50)/3.2808^2</f>
        <v>0</v>
      </c>
      <c r="AC170" s="155">
        <f>SUMIF('USCG Summary'!$A$25:$A$50,A170,'USCG Summary'!$T$25:$T$50)/3.2808^2</f>
        <v>0</v>
      </c>
      <c r="AD170" s="155">
        <f>SUMIF('USCG Summary'!$A$25:$A$50,A170,'USCG Summary'!$W$25:$W$50)/3.2808^2</f>
        <v>0</v>
      </c>
      <c r="AE170" s="155">
        <f>SUMIF('USCG Summary'!$A$25:$A$50,A170,'USCG Summary'!$Z$25:$Z$50)/3.2808^2</f>
        <v>0</v>
      </c>
      <c r="AF170" s="155">
        <f>SUMIF(Comp!$A$75:$A$400,Areas!A170,Comp!$F$75:$F$400)</f>
        <v>44.6</v>
      </c>
      <c r="AG170" s="155">
        <f>SUMIF(Comp!$A$75:$A$400,Areas!A170,Comp!$G$75:$G$400)</f>
        <v>44.6</v>
      </c>
      <c r="AH170" s="155"/>
      <c r="AI170" s="155"/>
      <c r="AK170" s="147"/>
    </row>
    <row r="171" spans="1:37" s="148" customFormat="1">
      <c r="A171" s="146" t="s">
        <v>1185</v>
      </c>
      <c r="C171" s="147">
        <f t="shared" si="57"/>
        <v>6.8749921587927263</v>
      </c>
      <c r="D171" s="147">
        <f t="shared" si="57"/>
        <v>0</v>
      </c>
      <c r="E171" s="147">
        <f t="shared" si="57"/>
        <v>0</v>
      </c>
      <c r="F171" s="147">
        <f t="shared" si="57"/>
        <v>0</v>
      </c>
      <c r="G171" s="411"/>
      <c r="H171" s="411"/>
      <c r="I171" s="411"/>
      <c r="J171" s="411"/>
      <c r="K171" s="411"/>
      <c r="L171" s="411"/>
      <c r="M171" s="411"/>
      <c r="N171" s="411"/>
      <c r="O171" s="411"/>
      <c r="P171" s="147">
        <f t="shared" si="58"/>
        <v>0</v>
      </c>
      <c r="Q171" s="147">
        <f t="shared" si="58"/>
        <v>0</v>
      </c>
      <c r="S171" s="155">
        <f>SUMIF('Flt III'!D:D,A171,'Flt III'!E:E)/3.2808^2</f>
        <v>6.8749921587927263</v>
      </c>
      <c r="T171" s="155">
        <f>SUMIF('Flt IIa'!A:A,A171,'Flt IIa'!E:E)/3.2808^2</f>
        <v>0</v>
      </c>
      <c r="U171" s="155">
        <f>SUMIF('OPC Des'!A:A,A171,'OPC Des'!F:F)/3.2808^2</f>
        <v>0</v>
      </c>
      <c r="V171" s="155">
        <f>SUMIF('LCS 5'!A:A,A171,'LCS 5'!E:E)</f>
        <v>0</v>
      </c>
      <c r="W171" s="155">
        <f>SUMIF('USCG Summary'!$A$25:$A$50,A171,'USCG Summary'!$D$25:$D$50)/3.2808^2</f>
        <v>0</v>
      </c>
      <c r="X171" s="155">
        <f>SUMIF('USCG Summary'!$A$25:$A$50,A171,'USCG Summary'!$I$25:$I$50)/3.2808^2</f>
        <v>0</v>
      </c>
      <c r="Y171" s="155">
        <f>SUMIF('USCG Summary'!$A$25:$A$50,A171,'USCG Summary'!$L$25:$L$50)/3.2808^2</f>
        <v>0</v>
      </c>
      <c r="Z171" s="155">
        <f>SUMIF('USCG Summary'!$A$25:$A$50,A171,'USCG Summary'!$O$25:$O$50)/3.2808^2</f>
        <v>0</v>
      </c>
      <c r="AA171" s="155">
        <f>SUMIF('USCG Summary'!$A$25:$A$50,A171,'USCG Summary'!$P$25:$P$50)/3.2808^2</f>
        <v>0</v>
      </c>
      <c r="AB171" s="155">
        <f>SUMIF('USCG Summary'!$A$25:$A$50,A171,'USCG Summary'!$Q$25:$Q$50)/3.2808^2</f>
        <v>0</v>
      </c>
      <c r="AC171" s="155">
        <f>SUMIF('USCG Summary'!$A$25:$A$50,A171,'USCG Summary'!$T$25:$T$50)/3.2808^2</f>
        <v>0</v>
      </c>
      <c r="AD171" s="155">
        <f>SUMIF('USCG Summary'!$A$25:$A$50,A171,'USCG Summary'!$W$25:$W$50)/3.2808^2</f>
        <v>0</v>
      </c>
      <c r="AE171" s="155">
        <f>SUMIF('USCG Summary'!$A$25:$A$50,A171,'USCG Summary'!$Z$25:$Z$50)/3.2808^2</f>
        <v>0</v>
      </c>
      <c r="AF171" s="155">
        <f>SUMIF(Comp!$A$75:$A$400,Areas!A171,Comp!$F$75:$F$400)</f>
        <v>0</v>
      </c>
      <c r="AG171" s="155">
        <f>SUMIF(Comp!$A$75:$A$400,Areas!A171,Comp!$G$75:$G$400)</f>
        <v>0</v>
      </c>
      <c r="AH171" s="155"/>
      <c r="AI171" s="155"/>
      <c r="AK171" s="147"/>
    </row>
    <row r="172" spans="1:37" s="148" customFormat="1">
      <c r="A172" s="146" t="s">
        <v>1182</v>
      </c>
      <c r="C172" s="147">
        <f t="shared" si="57"/>
        <v>4.2736437743846674</v>
      </c>
      <c r="D172" s="147">
        <f t="shared" si="57"/>
        <v>0</v>
      </c>
      <c r="E172" s="147">
        <f t="shared" si="57"/>
        <v>0</v>
      </c>
      <c r="F172" s="147">
        <f t="shared" si="57"/>
        <v>0</v>
      </c>
      <c r="G172" s="411"/>
      <c r="H172" s="411"/>
      <c r="I172" s="411"/>
      <c r="J172" s="411"/>
      <c r="K172" s="411"/>
      <c r="L172" s="411"/>
      <c r="M172" s="411"/>
      <c r="N172" s="411"/>
      <c r="O172" s="411"/>
      <c r="P172" s="147">
        <f t="shared" si="58"/>
        <v>0</v>
      </c>
      <c r="Q172" s="147">
        <f t="shared" si="58"/>
        <v>0</v>
      </c>
      <c r="S172" s="155">
        <f>SUMIF('Flt III'!D:D,A172,'Flt III'!E:E)/3.2808^2</f>
        <v>4.2736437743846674</v>
      </c>
      <c r="T172" s="155">
        <f>SUMIF('Flt IIa'!A:A,A172,'Flt IIa'!E:E)/3.2808^2</f>
        <v>0</v>
      </c>
      <c r="U172" s="155">
        <f>SUMIF('OPC Des'!A:A,A172,'OPC Des'!F:F)/3.2808^2</f>
        <v>0</v>
      </c>
      <c r="V172" s="155">
        <f>SUMIF('LCS 5'!A:A,A172,'LCS 5'!E:E)</f>
        <v>0</v>
      </c>
      <c r="W172" s="155">
        <f>SUMIF('USCG Summary'!$A$25:$A$50,A172,'USCG Summary'!$D$25:$D$50)/3.2808^2</f>
        <v>0</v>
      </c>
      <c r="X172" s="155">
        <f>SUMIF('USCG Summary'!$A$25:$A$50,A172,'USCG Summary'!$I$25:$I$50)/3.2808^2</f>
        <v>0</v>
      </c>
      <c r="Y172" s="155">
        <f>SUMIF('USCG Summary'!$A$25:$A$50,A172,'USCG Summary'!$L$25:$L$50)/3.2808^2</f>
        <v>0</v>
      </c>
      <c r="Z172" s="155">
        <f>SUMIF('USCG Summary'!$A$25:$A$50,A172,'USCG Summary'!$O$25:$O$50)/3.2808^2</f>
        <v>0</v>
      </c>
      <c r="AA172" s="155">
        <f>SUMIF('USCG Summary'!$A$25:$A$50,A172,'USCG Summary'!$P$25:$P$50)/3.2808^2</f>
        <v>0</v>
      </c>
      <c r="AB172" s="155">
        <f>SUMIF('USCG Summary'!$A$25:$A$50,A172,'USCG Summary'!$Q$25:$Q$50)/3.2808^2</f>
        <v>0</v>
      </c>
      <c r="AC172" s="155">
        <f>SUMIF('USCG Summary'!$A$25:$A$50,A172,'USCG Summary'!$T$25:$T$50)/3.2808^2</f>
        <v>0</v>
      </c>
      <c r="AD172" s="155">
        <f>SUMIF('USCG Summary'!$A$25:$A$50,A172,'USCG Summary'!$W$25:$W$50)/3.2808^2</f>
        <v>0</v>
      </c>
      <c r="AE172" s="155">
        <f>SUMIF('USCG Summary'!$A$25:$A$50,A172,'USCG Summary'!$Z$25:$Z$50)/3.2808^2</f>
        <v>0</v>
      </c>
      <c r="AF172" s="155">
        <f>SUMIF(Comp!$A$75:$A$400,Areas!A172,Comp!$F$75:$F$400)</f>
        <v>0</v>
      </c>
      <c r="AG172" s="155">
        <f>SUMIF(Comp!$A$75:$A$400,Areas!A172,Comp!$G$75:$G$400)</f>
        <v>0</v>
      </c>
      <c r="AH172" s="155"/>
      <c r="AI172" s="155"/>
      <c r="AK172" s="147"/>
    </row>
    <row r="173" spans="1:37" s="148" customFormat="1">
      <c r="A173" s="146" t="s">
        <v>1179</v>
      </c>
      <c r="C173" s="147">
        <f t="shared" si="57"/>
        <v>3.0658748816237833</v>
      </c>
      <c r="D173" s="147">
        <f t="shared" si="57"/>
        <v>0</v>
      </c>
      <c r="E173" s="147">
        <f t="shared" si="57"/>
        <v>0</v>
      </c>
      <c r="F173" s="147">
        <f t="shared" si="57"/>
        <v>0</v>
      </c>
      <c r="G173" s="411"/>
      <c r="H173" s="411"/>
      <c r="I173" s="411"/>
      <c r="J173" s="411"/>
      <c r="K173" s="411"/>
      <c r="L173" s="411"/>
      <c r="M173" s="411"/>
      <c r="N173" s="411"/>
      <c r="O173" s="411"/>
      <c r="P173" s="147">
        <f t="shared" si="58"/>
        <v>0</v>
      </c>
      <c r="Q173" s="147">
        <f t="shared" si="58"/>
        <v>0</v>
      </c>
      <c r="S173" s="155">
        <f>SUMIF('Flt III'!D:D,A173,'Flt III'!E:E)/3.2808^2</f>
        <v>3.0658748816237833</v>
      </c>
      <c r="T173" s="155">
        <f>SUMIF('Flt IIa'!A:A,A173,'Flt IIa'!E:E)/3.2808^2</f>
        <v>0</v>
      </c>
      <c r="U173" s="155">
        <f>SUMIF('OPC Des'!A:A,A173,'OPC Des'!F:F)/3.2808^2</f>
        <v>0</v>
      </c>
      <c r="V173" s="155">
        <f>SUMIF('LCS 5'!A:A,A173,'LCS 5'!E:E)</f>
        <v>0</v>
      </c>
      <c r="W173" s="155">
        <f>SUMIF('USCG Summary'!$A$25:$A$50,A173,'USCG Summary'!$D$25:$D$50)/3.2808^2</f>
        <v>0</v>
      </c>
      <c r="X173" s="155">
        <f>SUMIF('USCG Summary'!$A$25:$A$50,A173,'USCG Summary'!$I$25:$I$50)/3.2808^2</f>
        <v>0</v>
      </c>
      <c r="Y173" s="155">
        <f>SUMIF('USCG Summary'!$A$25:$A$50,A173,'USCG Summary'!$L$25:$L$50)/3.2808^2</f>
        <v>0</v>
      </c>
      <c r="Z173" s="155">
        <f>SUMIF('USCG Summary'!$A$25:$A$50,A173,'USCG Summary'!$O$25:$O$50)/3.2808^2</f>
        <v>0</v>
      </c>
      <c r="AA173" s="155">
        <f>SUMIF('USCG Summary'!$A$25:$A$50,A173,'USCG Summary'!$P$25:$P$50)/3.2808^2</f>
        <v>0</v>
      </c>
      <c r="AB173" s="155">
        <f>SUMIF('USCG Summary'!$A$25:$A$50,A173,'USCG Summary'!$Q$25:$Q$50)/3.2808^2</f>
        <v>0</v>
      </c>
      <c r="AC173" s="155">
        <f>SUMIF('USCG Summary'!$A$25:$A$50,A173,'USCG Summary'!$T$25:$T$50)/3.2808^2</f>
        <v>0</v>
      </c>
      <c r="AD173" s="155">
        <f>SUMIF('USCG Summary'!$A$25:$A$50,A173,'USCG Summary'!$W$25:$W$50)/3.2808^2</f>
        <v>0</v>
      </c>
      <c r="AE173" s="155">
        <f>SUMIF('USCG Summary'!$A$25:$A$50,A173,'USCG Summary'!$Z$25:$Z$50)/3.2808^2</f>
        <v>0</v>
      </c>
      <c r="AF173" s="155">
        <f>SUMIF(Comp!$A$75:$A$400,Areas!A173,Comp!$F$75:$F$400)</f>
        <v>0</v>
      </c>
      <c r="AG173" s="155">
        <f>SUMIF(Comp!$A$75:$A$400,Areas!A173,Comp!$G$75:$G$400)</f>
        <v>0</v>
      </c>
      <c r="AH173" s="155"/>
      <c r="AI173" s="155"/>
      <c r="AK173" s="147"/>
    </row>
    <row r="174" spans="1:37" s="148" customFormat="1">
      <c r="A174" s="146" t="s">
        <v>1173</v>
      </c>
      <c r="C174" s="147">
        <f t="shared" si="57"/>
        <v>24.526999052990266</v>
      </c>
      <c r="D174" s="147">
        <f t="shared" si="57"/>
        <v>0</v>
      </c>
      <c r="E174" s="147">
        <f t="shared" si="57"/>
        <v>0</v>
      </c>
      <c r="F174" s="147">
        <f t="shared" si="57"/>
        <v>0</v>
      </c>
      <c r="G174" s="411"/>
      <c r="H174" s="411"/>
      <c r="I174" s="411"/>
      <c r="J174" s="411"/>
      <c r="K174" s="411"/>
      <c r="L174" s="411"/>
      <c r="M174" s="411"/>
      <c r="N174" s="411"/>
      <c r="O174" s="411"/>
      <c r="P174" s="147">
        <f t="shared" si="58"/>
        <v>0</v>
      </c>
      <c r="Q174" s="147">
        <f t="shared" si="58"/>
        <v>0</v>
      </c>
      <c r="S174" s="155">
        <f>SUMIF('Flt III'!D:D,A174,'Flt III'!E:E)/3.2808^2</f>
        <v>24.526999052990266</v>
      </c>
      <c r="T174" s="155">
        <f>SUMIF('Flt IIa'!A:A,A174,'Flt IIa'!E:E)/3.2808^2</f>
        <v>0</v>
      </c>
      <c r="U174" s="155">
        <f>SUMIF('OPC Des'!A:A,A174,'OPC Des'!F:F)/3.2808^2</f>
        <v>0</v>
      </c>
      <c r="V174" s="155">
        <f>SUMIF('LCS 5'!A:A,A174,'LCS 5'!E:E)</f>
        <v>0</v>
      </c>
      <c r="W174" s="155">
        <f>SUMIF('USCG Summary'!$A$25:$A$50,A174,'USCG Summary'!$D$25:$D$50)/3.2808^2</f>
        <v>0</v>
      </c>
      <c r="X174" s="155">
        <f>SUMIF('USCG Summary'!$A$25:$A$50,A174,'USCG Summary'!$I$25:$I$50)/3.2808^2</f>
        <v>0</v>
      </c>
      <c r="Y174" s="155">
        <f>SUMIF('USCG Summary'!$A$25:$A$50,A174,'USCG Summary'!$L$25:$L$50)/3.2808^2</f>
        <v>0</v>
      </c>
      <c r="Z174" s="155">
        <f>SUMIF('USCG Summary'!$A$25:$A$50,A174,'USCG Summary'!$O$25:$O$50)/3.2808^2</f>
        <v>0</v>
      </c>
      <c r="AA174" s="155">
        <f>SUMIF('USCG Summary'!$A$25:$A$50,A174,'USCG Summary'!$P$25:$P$50)/3.2808^2</f>
        <v>0</v>
      </c>
      <c r="AB174" s="155">
        <f>SUMIF('USCG Summary'!$A$25:$A$50,A174,'USCG Summary'!$Q$25:$Q$50)/3.2808^2</f>
        <v>0</v>
      </c>
      <c r="AC174" s="155">
        <f>SUMIF('USCG Summary'!$A$25:$A$50,A174,'USCG Summary'!$T$25:$T$50)/3.2808^2</f>
        <v>0</v>
      </c>
      <c r="AD174" s="155">
        <f>SUMIF('USCG Summary'!$A$25:$A$50,A174,'USCG Summary'!$W$25:$W$50)/3.2808^2</f>
        <v>0</v>
      </c>
      <c r="AE174" s="155">
        <f>SUMIF('USCG Summary'!$A$25:$A$50,A174,'USCG Summary'!$Z$25:$Z$50)/3.2808^2</f>
        <v>0</v>
      </c>
      <c r="AF174" s="155">
        <f>SUMIF(Comp!$A$75:$A$400,Areas!A174,Comp!$F$75:$F$400)</f>
        <v>0</v>
      </c>
      <c r="AG174" s="155">
        <f>SUMIF(Comp!$A$75:$A$400,Areas!A174,Comp!$G$75:$G$400)</f>
        <v>0</v>
      </c>
      <c r="AH174" s="155"/>
      <c r="AI174" s="155"/>
      <c r="AK174" s="147"/>
    </row>
    <row r="175" spans="1:37" s="148" customFormat="1">
      <c r="A175" s="146">
        <v>2.1111301999999998</v>
      </c>
      <c r="B175" s="148" t="str">
        <f>Comp!B169</f>
        <v>OFFICER STATEROOM (DBL)</v>
      </c>
      <c r="C175" s="147">
        <f t="shared" si="57"/>
        <v>0</v>
      </c>
      <c r="D175" s="147">
        <f t="shared" si="57"/>
        <v>0</v>
      </c>
      <c r="E175" s="147">
        <f t="shared" si="57"/>
        <v>126.44411254212028</v>
      </c>
      <c r="F175" s="147">
        <f t="shared" si="57"/>
        <v>0</v>
      </c>
      <c r="G175" s="411"/>
      <c r="H175" s="411"/>
      <c r="I175" s="411"/>
      <c r="J175" s="411"/>
      <c r="K175" s="411"/>
      <c r="L175" s="411"/>
      <c r="M175" s="411"/>
      <c r="N175" s="411"/>
      <c r="O175" s="411"/>
      <c r="P175" s="147">
        <f t="shared" si="58"/>
        <v>192.3</v>
      </c>
      <c r="Q175" s="147">
        <f t="shared" si="58"/>
        <v>192.3</v>
      </c>
      <c r="S175" s="155">
        <f>SUMIF('Flt III'!D:D,A175,'Flt III'!E:E)/3.2808^2</f>
        <v>0</v>
      </c>
      <c r="T175" s="155">
        <f>SUMIF('Flt IIa'!A:A,A175,'Flt IIa'!E:E)/3.2808^2</f>
        <v>0</v>
      </c>
      <c r="U175" s="155">
        <f>SUMIF('OPC Des'!A:A,A175,'OPC Des'!F:F)/3.2808^2</f>
        <v>126.44411254212028</v>
      </c>
      <c r="V175" s="155">
        <f>SUMIF('LCS 5'!A:A,A175,'LCS 5'!E:E)</f>
        <v>0</v>
      </c>
      <c r="W175" s="155">
        <f>SUMIF('USCG Summary'!$A$25:$A$50,A175,'USCG Summary'!$D$25:$D$50)/3.2808^2</f>
        <v>0</v>
      </c>
      <c r="X175" s="155">
        <f>SUMIF('USCG Summary'!$A$25:$A$50,A175,'USCG Summary'!$I$25:$I$50)/3.2808^2</f>
        <v>0</v>
      </c>
      <c r="Y175" s="155">
        <f>SUMIF('USCG Summary'!$A$25:$A$50,A175,'USCG Summary'!$L$25:$L$50)/3.2808^2</f>
        <v>0</v>
      </c>
      <c r="Z175" s="155">
        <f>SUMIF('USCG Summary'!$A$25:$A$50,A175,'USCG Summary'!$O$25:$O$50)/3.2808^2</f>
        <v>0</v>
      </c>
      <c r="AA175" s="155">
        <f>SUMIF('USCG Summary'!$A$25:$A$50,A175,'USCG Summary'!$P$25:$P$50)/3.2808^2</f>
        <v>0</v>
      </c>
      <c r="AB175" s="155">
        <f>SUMIF('USCG Summary'!$A$25:$A$50,A175,'USCG Summary'!$Q$25:$Q$50)/3.2808^2</f>
        <v>0</v>
      </c>
      <c r="AC175" s="155">
        <f>SUMIF('USCG Summary'!$A$25:$A$50,A175,'USCG Summary'!$T$25:$T$50)/3.2808^2</f>
        <v>0</v>
      </c>
      <c r="AD175" s="155">
        <f>SUMIF('USCG Summary'!$A$25:$A$50,A175,'USCG Summary'!$W$25:$W$50)/3.2808^2</f>
        <v>0</v>
      </c>
      <c r="AE175" s="155">
        <f>SUMIF('USCG Summary'!$A$25:$A$50,A175,'USCG Summary'!$Z$25:$Z$50)/3.2808^2</f>
        <v>0</v>
      </c>
      <c r="AF175" s="155">
        <f>SUMIF(Comp!$A$75:$A$400,Areas!A175,Comp!$F$75:$F$400)</f>
        <v>192.3</v>
      </c>
      <c r="AG175" s="155">
        <f>SUMIF(Comp!$A$75:$A$400,Areas!A175,Comp!$G$75:$G$400)</f>
        <v>192.3</v>
      </c>
      <c r="AH175" s="155"/>
      <c r="AI175" s="155"/>
      <c r="AK175" s="147"/>
    </row>
    <row r="176" spans="1:37" s="148" customFormat="1">
      <c r="A176" s="146">
        <v>2.1121305000000001</v>
      </c>
      <c r="C176" s="147">
        <f t="shared" si="57"/>
        <v>1.7652006894197541</v>
      </c>
      <c r="D176" s="147">
        <f t="shared" si="57"/>
        <v>0</v>
      </c>
      <c r="E176" s="147">
        <f t="shared" si="57"/>
        <v>0</v>
      </c>
      <c r="F176" s="147">
        <f t="shared" si="57"/>
        <v>2.0299999999999998</v>
      </c>
      <c r="G176" s="411"/>
      <c r="H176" s="411"/>
      <c r="I176" s="411"/>
      <c r="J176" s="411"/>
      <c r="K176" s="411"/>
      <c r="L176" s="411"/>
      <c r="M176" s="411"/>
      <c r="N176" s="411"/>
      <c r="O176" s="411"/>
      <c r="P176" s="147">
        <f t="shared" si="58"/>
        <v>0</v>
      </c>
      <c r="Q176" s="147">
        <f t="shared" si="58"/>
        <v>0</v>
      </c>
      <c r="S176" s="155">
        <f>SUMIF('Flt III'!D:D,A176,'Flt III'!E:E)/3.2808^2</f>
        <v>1.7652006894197541</v>
      </c>
      <c r="T176" s="155">
        <f>SUMIF('Flt IIa'!A:A,A176,'Flt IIa'!E:E)/3.2808^2</f>
        <v>0</v>
      </c>
      <c r="U176" s="155">
        <f>SUMIF('OPC Des'!A:A,A176,'OPC Des'!F:F)/3.2808^2</f>
        <v>0</v>
      </c>
      <c r="V176" s="155">
        <f>SUMIF('LCS 5'!A:A,A176,'LCS 5'!E:E)</f>
        <v>2.0299999999999998</v>
      </c>
      <c r="W176" s="155">
        <f>SUMIF('USCG Summary'!$A$25:$A$50,A176,'USCG Summary'!$D$25:$D$50)/3.2808^2</f>
        <v>0</v>
      </c>
      <c r="X176" s="155">
        <f>SUMIF('USCG Summary'!$A$25:$A$50,A176,'USCG Summary'!$I$25:$I$50)/3.2808^2</f>
        <v>0</v>
      </c>
      <c r="Y176" s="155">
        <f>SUMIF('USCG Summary'!$A$25:$A$50,A176,'USCG Summary'!$L$25:$L$50)/3.2808^2</f>
        <v>0</v>
      </c>
      <c r="Z176" s="155">
        <f>SUMIF('USCG Summary'!$A$25:$A$50,A176,'USCG Summary'!$O$25:$O$50)/3.2808^2</f>
        <v>0</v>
      </c>
      <c r="AA176" s="155">
        <f>SUMIF('USCG Summary'!$A$25:$A$50,A176,'USCG Summary'!$P$25:$P$50)/3.2808^2</f>
        <v>0</v>
      </c>
      <c r="AB176" s="155">
        <f>SUMIF('USCG Summary'!$A$25:$A$50,A176,'USCG Summary'!$Q$25:$Q$50)/3.2808^2</f>
        <v>0</v>
      </c>
      <c r="AC176" s="155">
        <f>SUMIF('USCG Summary'!$A$25:$A$50,A176,'USCG Summary'!$T$25:$T$50)/3.2808^2</f>
        <v>0</v>
      </c>
      <c r="AD176" s="155">
        <f>SUMIF('USCG Summary'!$A$25:$A$50,A176,'USCG Summary'!$W$25:$W$50)/3.2808^2</f>
        <v>0</v>
      </c>
      <c r="AE176" s="155">
        <f>SUMIF('USCG Summary'!$A$25:$A$50,A176,'USCG Summary'!$Z$25:$Z$50)/3.2808^2</f>
        <v>0</v>
      </c>
      <c r="AF176" s="155">
        <f>SUMIF(Comp!$A$75:$A$400,Areas!A176,Comp!$F$75:$F$400)</f>
        <v>0</v>
      </c>
      <c r="AG176" s="155">
        <f>SUMIF(Comp!$A$75:$A$400,Areas!A176,Comp!$G$75:$G$400)</f>
        <v>0</v>
      </c>
      <c r="AH176" s="155"/>
      <c r="AI176" s="155"/>
      <c r="AK176" s="147"/>
    </row>
    <row r="177" spans="1:37" s="148" customFormat="1">
      <c r="A177" s="146">
        <v>2.1121306</v>
      </c>
      <c r="C177" s="147">
        <f t="shared" si="57"/>
        <v>1.4864847910903192</v>
      </c>
      <c r="D177" s="147">
        <f t="shared" si="57"/>
        <v>0</v>
      </c>
      <c r="E177" s="147">
        <f t="shared" si="57"/>
        <v>0</v>
      </c>
      <c r="F177" s="147">
        <f t="shared" si="57"/>
        <v>0</v>
      </c>
      <c r="G177" s="411"/>
      <c r="H177" s="411"/>
      <c r="I177" s="411"/>
      <c r="J177" s="411"/>
      <c r="K177" s="411"/>
      <c r="L177" s="411"/>
      <c r="M177" s="411"/>
      <c r="N177" s="411"/>
      <c r="O177" s="411"/>
      <c r="P177" s="147">
        <f t="shared" si="58"/>
        <v>0</v>
      </c>
      <c r="Q177" s="147">
        <f t="shared" si="58"/>
        <v>0</v>
      </c>
      <c r="S177" s="155">
        <f>SUMIF('Flt III'!D:D,A177,'Flt III'!E:E)/3.2808^2</f>
        <v>1.4864847910903192</v>
      </c>
      <c r="T177" s="155">
        <f>SUMIF('Flt IIa'!A:A,A177,'Flt IIa'!E:E)/3.2808^2</f>
        <v>0</v>
      </c>
      <c r="U177" s="155">
        <f>SUMIF('OPC Des'!A:A,A177,'OPC Des'!F:F)/3.2808^2</f>
        <v>0</v>
      </c>
      <c r="V177" s="155">
        <f>SUMIF('LCS 5'!A:A,A177,'LCS 5'!E:E)</f>
        <v>0</v>
      </c>
      <c r="W177" s="155">
        <f>SUMIF('USCG Summary'!$A$25:$A$50,A177,'USCG Summary'!$D$25:$D$50)/3.2808^2</f>
        <v>0</v>
      </c>
      <c r="X177" s="155">
        <f>SUMIF('USCG Summary'!$A$25:$A$50,A177,'USCG Summary'!$I$25:$I$50)/3.2808^2</f>
        <v>0</v>
      </c>
      <c r="Y177" s="155">
        <f>SUMIF('USCG Summary'!$A$25:$A$50,A177,'USCG Summary'!$L$25:$L$50)/3.2808^2</f>
        <v>0</v>
      </c>
      <c r="Z177" s="155">
        <f>SUMIF('USCG Summary'!$A$25:$A$50,A177,'USCG Summary'!$O$25:$O$50)/3.2808^2</f>
        <v>0</v>
      </c>
      <c r="AA177" s="155">
        <f>SUMIF('USCG Summary'!$A$25:$A$50,A177,'USCG Summary'!$P$25:$P$50)/3.2808^2</f>
        <v>0</v>
      </c>
      <c r="AB177" s="155">
        <f>SUMIF('USCG Summary'!$A$25:$A$50,A177,'USCG Summary'!$Q$25:$Q$50)/3.2808^2</f>
        <v>0</v>
      </c>
      <c r="AC177" s="155">
        <f>SUMIF('USCG Summary'!$A$25:$A$50,A177,'USCG Summary'!$T$25:$T$50)/3.2808^2</f>
        <v>0</v>
      </c>
      <c r="AD177" s="155">
        <f>SUMIF('USCG Summary'!$A$25:$A$50,A177,'USCG Summary'!$W$25:$W$50)/3.2808^2</f>
        <v>0</v>
      </c>
      <c r="AE177" s="155">
        <f>SUMIF('USCG Summary'!$A$25:$A$50,A177,'USCG Summary'!$Z$25:$Z$50)/3.2808^2</f>
        <v>0</v>
      </c>
      <c r="AF177" s="155">
        <f>SUMIF(Comp!$A$75:$A$400,Areas!A177,Comp!$F$75:$F$400)</f>
        <v>0</v>
      </c>
      <c r="AG177" s="155">
        <f>SUMIF(Comp!$A$75:$A$400,Areas!A177,Comp!$G$75:$G$400)</f>
        <v>0</v>
      </c>
      <c r="AH177" s="155"/>
      <c r="AI177" s="155"/>
      <c r="AK177" s="147"/>
    </row>
    <row r="178" spans="1:37" s="141" customFormat="1">
      <c r="A178" s="144">
        <v>2.1114000000000002</v>
      </c>
      <c r="B178" s="141" t="str">
        <f>Comp!B170</f>
        <v>AVIATION OFFICER</v>
      </c>
      <c r="C178" s="145">
        <f t="shared" ref="C178:F179" si="59">S178</f>
        <v>0</v>
      </c>
      <c r="D178" s="145">
        <f t="shared" si="59"/>
        <v>0</v>
      </c>
      <c r="E178" s="145">
        <f t="shared" si="59"/>
        <v>0</v>
      </c>
      <c r="F178" s="145">
        <f t="shared" si="59"/>
        <v>0</v>
      </c>
      <c r="G178" s="412"/>
      <c r="H178" s="412"/>
      <c r="I178" s="412"/>
      <c r="J178" s="412"/>
      <c r="K178" s="412"/>
      <c r="L178" s="412"/>
      <c r="M178" s="412"/>
      <c r="N178" s="412"/>
      <c r="O178" s="412"/>
      <c r="P178" s="145">
        <f t="shared" si="58"/>
        <v>0</v>
      </c>
      <c r="Q178" s="145">
        <f t="shared" si="58"/>
        <v>0</v>
      </c>
      <c r="S178" s="156">
        <f>SUMIF('Flt III'!D:D,A178,'Flt III'!E:E)/3.2808^2</f>
        <v>0</v>
      </c>
      <c r="T178" s="156">
        <f>SUMIF('Flt IIa'!A:A,A178,'Flt IIa'!E:E)/3.2808^2</f>
        <v>0</v>
      </c>
      <c r="U178" s="156">
        <f>SUMIF('OPC Des'!A:A,A178,'OPC Des'!F:F)/3.2808^2</f>
        <v>0</v>
      </c>
      <c r="V178" s="156">
        <f>SUMIF('LCS 5'!A:A,A178,'LCS 5'!E:E)</f>
        <v>0</v>
      </c>
      <c r="W178" s="156">
        <f>SUMIF('USCG Summary'!$A$25:$A$50,A178,'USCG Summary'!$D$25:$D$50)/3.2808^2</f>
        <v>0</v>
      </c>
      <c r="X178" s="156">
        <f>SUMIF('USCG Summary'!$A$25:$A$50,A178,'USCG Summary'!$I$25:$I$50)/3.2808^2</f>
        <v>0</v>
      </c>
      <c r="Y178" s="156">
        <f>SUMIF('USCG Summary'!$A$25:$A$50,A178,'USCG Summary'!$L$25:$L$50)/3.2808^2</f>
        <v>0</v>
      </c>
      <c r="Z178" s="156">
        <f>SUMIF('USCG Summary'!$A$25:$A$50,A178,'USCG Summary'!$O$25:$O$50)/3.2808^2</f>
        <v>0</v>
      </c>
      <c r="AA178" s="156">
        <f>SUMIF('USCG Summary'!$A$25:$A$50,A178,'USCG Summary'!$P$25:$P$50)/3.2808^2</f>
        <v>0</v>
      </c>
      <c r="AB178" s="156">
        <f>SUMIF('USCG Summary'!$A$25:$A$50,A178,'USCG Summary'!$Q$25:$Q$50)/3.2808^2</f>
        <v>0</v>
      </c>
      <c r="AC178" s="156">
        <f>SUMIF('USCG Summary'!$A$25:$A$50,A178,'USCG Summary'!$T$25:$T$50)/3.2808^2</f>
        <v>0</v>
      </c>
      <c r="AD178" s="156">
        <f>SUMIF('USCG Summary'!$A$25:$A$50,A178,'USCG Summary'!$W$25:$W$50)/3.2808^2</f>
        <v>0</v>
      </c>
      <c r="AE178" s="156">
        <f>SUMIF('USCG Summary'!$A$25:$A$50,A178,'USCG Summary'!$Z$25:$Z$50)/3.2808^2</f>
        <v>0</v>
      </c>
      <c r="AF178" s="156">
        <f>SUMIF(Comp!$A$75:$A$400,Areas!A178,Comp!$F$75:$F$400)</f>
        <v>0</v>
      </c>
      <c r="AG178" s="156">
        <f>SUMIF(Comp!$A$75:$A$400,Areas!A178,Comp!$G$75:$G$400)</f>
        <v>0</v>
      </c>
      <c r="AH178" s="156"/>
      <c r="AI178" s="156"/>
      <c r="AK178" s="145"/>
    </row>
    <row r="179" spans="1:37" s="141" customFormat="1">
      <c r="A179" s="144">
        <v>2.1114999999999999</v>
      </c>
      <c r="B179" s="141" t="str">
        <f>Comp!B171</f>
        <v>FLAG OFFICER</v>
      </c>
      <c r="C179" s="145">
        <f t="shared" si="59"/>
        <v>0</v>
      </c>
      <c r="D179" s="145">
        <f t="shared" si="59"/>
        <v>0</v>
      </c>
      <c r="E179" s="145">
        <f t="shared" si="59"/>
        <v>0</v>
      </c>
      <c r="F179" s="145">
        <f t="shared" si="59"/>
        <v>0</v>
      </c>
      <c r="G179" s="412"/>
      <c r="H179" s="412"/>
      <c r="I179" s="412"/>
      <c r="J179" s="412"/>
      <c r="K179" s="412"/>
      <c r="L179" s="412"/>
      <c r="M179" s="412"/>
      <c r="N179" s="412"/>
      <c r="O179" s="412"/>
      <c r="P179" s="145">
        <f t="shared" si="58"/>
        <v>0</v>
      </c>
      <c r="Q179" s="145">
        <f t="shared" si="58"/>
        <v>0</v>
      </c>
      <c r="S179" s="156">
        <f>SUMIF('Flt III'!D:D,A179,'Flt III'!E:E)/3.2808^2</f>
        <v>0</v>
      </c>
      <c r="T179" s="156">
        <f>SUMIF('Flt IIa'!A:A,A179,'Flt IIa'!E:E)/3.2808^2</f>
        <v>0</v>
      </c>
      <c r="U179" s="156">
        <f>SUMIF('OPC Des'!A:A,A179,'OPC Des'!F:F)/3.2808^2</f>
        <v>0</v>
      </c>
      <c r="V179" s="156">
        <f>SUMIF('LCS 5'!A:A,A179,'LCS 5'!E:E)</f>
        <v>0</v>
      </c>
      <c r="W179" s="156">
        <f>SUMIF('USCG Summary'!$A$25:$A$50,A179,'USCG Summary'!$D$25:$D$50)/3.2808^2</f>
        <v>0</v>
      </c>
      <c r="X179" s="156">
        <f>SUMIF('USCG Summary'!$A$25:$A$50,A179,'USCG Summary'!$I$25:$I$50)/3.2808^2</f>
        <v>0</v>
      </c>
      <c r="Y179" s="156">
        <f>SUMIF('USCG Summary'!$A$25:$A$50,A179,'USCG Summary'!$L$25:$L$50)/3.2808^2</f>
        <v>0</v>
      </c>
      <c r="Z179" s="156">
        <f>SUMIF('USCG Summary'!$A$25:$A$50,A179,'USCG Summary'!$O$25:$O$50)/3.2808^2</f>
        <v>0</v>
      </c>
      <c r="AA179" s="156">
        <f>SUMIF('USCG Summary'!$A$25:$A$50,A179,'USCG Summary'!$P$25:$P$50)/3.2808^2</f>
        <v>0</v>
      </c>
      <c r="AB179" s="156">
        <f>SUMIF('USCG Summary'!$A$25:$A$50,A179,'USCG Summary'!$Q$25:$Q$50)/3.2808^2</f>
        <v>0</v>
      </c>
      <c r="AC179" s="156">
        <f>SUMIF('USCG Summary'!$A$25:$A$50,A179,'USCG Summary'!$T$25:$T$50)/3.2808^2</f>
        <v>0</v>
      </c>
      <c r="AD179" s="156">
        <f>SUMIF('USCG Summary'!$A$25:$A$50,A179,'USCG Summary'!$W$25:$W$50)/3.2808^2</f>
        <v>0</v>
      </c>
      <c r="AE179" s="156">
        <f>SUMIF('USCG Summary'!$A$25:$A$50,A179,'USCG Summary'!$Z$25:$Z$50)/3.2808^2</f>
        <v>0</v>
      </c>
      <c r="AF179" s="156">
        <f>SUMIF(Comp!$A$75:$A$400,Areas!A179,Comp!$F$75:$F$400)</f>
        <v>0</v>
      </c>
      <c r="AG179" s="156">
        <f>SUMIF(Comp!$A$75:$A$400,Areas!A179,Comp!$G$75:$G$400)</f>
        <v>0</v>
      </c>
      <c r="AH179" s="156"/>
      <c r="AI179" s="156"/>
      <c r="AK179" s="145"/>
    </row>
    <row r="180" spans="1:37" s="132" customFormat="1">
      <c r="A180" s="142">
        <v>2.1120000000000001</v>
      </c>
      <c r="B180" s="132" t="str">
        <f>Comp!B172</f>
        <v>SANITARY</v>
      </c>
      <c r="C180" s="143">
        <f>SUM(C181)</f>
        <v>0</v>
      </c>
      <c r="D180" s="143">
        <f>T180</f>
        <v>40.042184059995471</v>
      </c>
      <c r="E180" s="143">
        <f>SUM(E181)</f>
        <v>38.741509867791443</v>
      </c>
      <c r="F180" s="143">
        <f>SUM(F181)</f>
        <v>5.32</v>
      </c>
      <c r="G180" s="410"/>
      <c r="H180" s="410"/>
      <c r="I180" s="410"/>
      <c r="J180" s="410"/>
      <c r="K180" s="410"/>
      <c r="L180" s="410"/>
      <c r="M180" s="410"/>
      <c r="N180" s="410"/>
      <c r="O180" s="410"/>
      <c r="P180" s="143">
        <f t="shared" si="58"/>
        <v>38.200000000000003</v>
      </c>
      <c r="Q180" s="143">
        <f t="shared" si="58"/>
        <v>38.200000000000003</v>
      </c>
      <c r="S180" s="154">
        <f>SUMIF('Flt III'!D:D,A180,'Flt III'!E:E)/3.2808^2</f>
        <v>0</v>
      </c>
      <c r="T180" s="154">
        <f>SUMIF('Flt IIa'!A:A,A180,'Flt IIa'!E:E)/3.2808^2</f>
        <v>40.042184059995471</v>
      </c>
      <c r="U180" s="154">
        <f>SUMIF('OPC Des'!A:A,A180,'OPC Des'!F:F)/3.2808^2</f>
        <v>0</v>
      </c>
      <c r="V180" s="154">
        <f>SUMIF('LCS 5'!A:A,A180,'LCS 5'!E:E)</f>
        <v>0</v>
      </c>
      <c r="W180" s="154">
        <f>SUMIF('USCG Summary'!$A$25:$A$50,A180,'USCG Summary'!$D$25:$D$50)/3.2808^2</f>
        <v>0</v>
      </c>
      <c r="X180" s="154">
        <f>SUMIF('USCG Summary'!$A$25:$A$50,A180,'USCG Summary'!$I$25:$I$50)/3.2808^2</f>
        <v>0</v>
      </c>
      <c r="Y180" s="154">
        <f>SUMIF('USCG Summary'!$A$25:$A$50,A180,'USCG Summary'!$L$25:$L$50)/3.2808^2</f>
        <v>0</v>
      </c>
      <c r="Z180" s="154">
        <f>SUMIF('USCG Summary'!$A$25:$A$50,A180,'USCG Summary'!$O$25:$O$50)/3.2808^2</f>
        <v>0</v>
      </c>
      <c r="AA180" s="154">
        <f>SUMIF('USCG Summary'!$A$25:$A$50,A180,'USCG Summary'!$P$25:$P$50)/3.2808^2</f>
        <v>0</v>
      </c>
      <c r="AB180" s="154">
        <f>SUMIF('USCG Summary'!$A$25:$A$50,A180,'USCG Summary'!$Q$25:$Q$50)/3.2808^2</f>
        <v>0</v>
      </c>
      <c r="AC180" s="154">
        <f>SUMIF('USCG Summary'!$A$25:$A$50,A180,'USCG Summary'!$T$25:$T$50)/3.2808^2</f>
        <v>0</v>
      </c>
      <c r="AD180" s="154">
        <f>SUMIF('USCG Summary'!$A$25:$A$50,A180,'USCG Summary'!$W$25:$W$50)/3.2808^2</f>
        <v>0</v>
      </c>
      <c r="AE180" s="154">
        <f>SUMIF('USCG Summary'!$A$25:$A$50,A180,'USCG Summary'!$Z$25:$Z$50)/3.2808^2</f>
        <v>0</v>
      </c>
      <c r="AF180" s="154">
        <f>SUMIF(Comp!$A$75:$A$400,Areas!A180,Comp!$F$75:$F$400)</f>
        <v>38.200000000000003</v>
      </c>
      <c r="AG180" s="154">
        <f>SUMIF(Comp!$A$75:$A$400,Areas!A180,Comp!$G$75:$G$400)</f>
        <v>38.200000000000003</v>
      </c>
      <c r="AH180" s="154"/>
      <c r="AI180" s="154"/>
      <c r="AK180" s="143"/>
    </row>
    <row r="181" spans="1:37" s="141" customFormat="1">
      <c r="A181" s="144">
        <v>2.1120999999999999</v>
      </c>
      <c r="B181" s="141" t="str">
        <f>Comp!B173</f>
        <v>SHIP OFFICER</v>
      </c>
      <c r="C181" s="145">
        <f>SUM(C182:C185)+S181</f>
        <v>0</v>
      </c>
      <c r="D181" s="145">
        <f>SUM(D182:D185)+T181</f>
        <v>0</v>
      </c>
      <c r="E181" s="145">
        <f>SUM(E182:E185)+U181</f>
        <v>38.741509867791443</v>
      </c>
      <c r="F181" s="145">
        <f>SUM(F182:F185)+V181</f>
        <v>5.32</v>
      </c>
      <c r="G181" s="412"/>
      <c r="H181" s="412"/>
      <c r="I181" s="412"/>
      <c r="J181" s="412"/>
      <c r="K181" s="412"/>
      <c r="L181" s="412"/>
      <c r="M181" s="412"/>
      <c r="N181" s="412"/>
      <c r="O181" s="412"/>
      <c r="P181" s="145">
        <f t="shared" si="58"/>
        <v>38.200000000000003</v>
      </c>
      <c r="Q181" s="145">
        <f t="shared" si="58"/>
        <v>38.200000000000003</v>
      </c>
      <c r="S181" s="156">
        <f>SUMIF('Flt III'!D:D,A181,'Flt III'!E:E)/3.2808^2</f>
        <v>0</v>
      </c>
      <c r="T181" s="156">
        <f>SUMIF('Flt IIa'!A:A,A181,'Flt IIa'!E:E)/3.2808^2</f>
        <v>0</v>
      </c>
      <c r="U181" s="156">
        <f>SUMIF('OPC Des'!A:A,A181,'OPC Des'!F:F)/3.2808^2</f>
        <v>0</v>
      </c>
      <c r="V181" s="156">
        <f>SUMIF('LCS 5'!A:A,A181,'LCS 5'!E:E)</f>
        <v>0</v>
      </c>
      <c r="W181" s="156">
        <f>SUMIF('USCG Summary'!$A$25:$A$50,A181,'USCG Summary'!$D$25:$D$50)/3.2808^2</f>
        <v>0</v>
      </c>
      <c r="X181" s="156">
        <f>SUMIF('USCG Summary'!$A$25:$A$50,A181,'USCG Summary'!$I$25:$I$50)/3.2808^2</f>
        <v>0</v>
      </c>
      <c r="Y181" s="156">
        <f>SUMIF('USCG Summary'!$A$25:$A$50,A181,'USCG Summary'!$L$25:$L$50)/3.2808^2</f>
        <v>0</v>
      </c>
      <c r="Z181" s="156">
        <f>SUMIF('USCG Summary'!$A$25:$A$50,A181,'USCG Summary'!$O$25:$O$50)/3.2808^2</f>
        <v>0</v>
      </c>
      <c r="AA181" s="156">
        <f>SUMIF('USCG Summary'!$A$25:$A$50,A181,'USCG Summary'!$P$25:$P$50)/3.2808^2</f>
        <v>0</v>
      </c>
      <c r="AB181" s="156">
        <f>SUMIF('USCG Summary'!$A$25:$A$50,A181,'USCG Summary'!$Q$25:$Q$50)/3.2808^2</f>
        <v>0</v>
      </c>
      <c r="AC181" s="156">
        <f>SUMIF('USCG Summary'!$A$25:$A$50,A181,'USCG Summary'!$T$25:$T$50)/3.2808^2</f>
        <v>0</v>
      </c>
      <c r="AD181" s="156">
        <f>SUMIF('USCG Summary'!$A$25:$A$50,A181,'USCG Summary'!$W$25:$W$50)/3.2808^2</f>
        <v>0</v>
      </c>
      <c r="AE181" s="156">
        <f>SUMIF('USCG Summary'!$A$25:$A$50,A181,'USCG Summary'!$Z$25:$Z$50)/3.2808^2</f>
        <v>0</v>
      </c>
      <c r="AF181" s="156">
        <f>SUMIF(Comp!$A$75:$A$400,Areas!A181,Comp!$F$75:$F$400)</f>
        <v>38.200000000000003</v>
      </c>
      <c r="AG181" s="156">
        <f>SUMIF(Comp!$A$75:$A$400,Areas!A181,Comp!$G$75:$G$400)</f>
        <v>38.200000000000003</v>
      </c>
      <c r="AH181" s="156"/>
      <c r="AI181" s="156"/>
      <c r="AK181" s="145"/>
    </row>
    <row r="182" spans="1:37" s="148" customFormat="1">
      <c r="A182" s="146">
        <v>2.1121101000000002</v>
      </c>
      <c r="B182" s="148" t="str">
        <f>Comp!B174</f>
        <v>COMMANDING OFFICER BATH</v>
      </c>
      <c r="C182" s="147">
        <f t="shared" ref="C182:F187" si="60">S182</f>
        <v>0</v>
      </c>
      <c r="D182" s="147">
        <f t="shared" si="60"/>
        <v>0</v>
      </c>
      <c r="E182" s="147">
        <f t="shared" si="60"/>
        <v>4.1807384749415224</v>
      </c>
      <c r="F182" s="147">
        <f t="shared" si="60"/>
        <v>2.66</v>
      </c>
      <c r="G182" s="411"/>
      <c r="H182" s="411"/>
      <c r="I182" s="411"/>
      <c r="J182" s="411"/>
      <c r="K182" s="411"/>
      <c r="L182" s="411"/>
      <c r="M182" s="411"/>
      <c r="N182" s="411"/>
      <c r="O182" s="411"/>
      <c r="P182" s="147">
        <f t="shared" si="58"/>
        <v>4.5</v>
      </c>
      <c r="Q182" s="147">
        <f t="shared" si="58"/>
        <v>4.5</v>
      </c>
      <c r="S182" s="155">
        <f>SUMIF('Flt III'!D:D,A182,'Flt III'!E:E)/3.2808^2</f>
        <v>0</v>
      </c>
      <c r="T182" s="155">
        <f>SUMIF('Flt IIa'!A:A,A182,'Flt IIa'!E:E)/3.2808^2</f>
        <v>0</v>
      </c>
      <c r="U182" s="155">
        <f>SUMIF('OPC Des'!A:A,A182,'OPC Des'!F:F)/3.2808^2</f>
        <v>4.1807384749415224</v>
      </c>
      <c r="V182" s="155">
        <f>SUMIF('LCS 5'!A:A,A182,'LCS 5'!E:E)</f>
        <v>2.66</v>
      </c>
      <c r="W182" s="155">
        <f>SUMIF('USCG Summary'!$A$25:$A$50,A182,'USCG Summary'!$D$25:$D$50)/3.2808^2</f>
        <v>0</v>
      </c>
      <c r="X182" s="155">
        <f>SUMIF('USCG Summary'!$A$25:$A$50,A182,'USCG Summary'!$I$25:$I$50)/3.2808^2</f>
        <v>0</v>
      </c>
      <c r="Y182" s="155">
        <f>SUMIF('USCG Summary'!$A$25:$A$50,A182,'USCG Summary'!$L$25:$L$50)/3.2808^2</f>
        <v>0</v>
      </c>
      <c r="Z182" s="155">
        <f>SUMIF('USCG Summary'!$A$25:$A$50,A182,'USCG Summary'!$O$25:$O$50)/3.2808^2</f>
        <v>0</v>
      </c>
      <c r="AA182" s="155">
        <f>SUMIF('USCG Summary'!$A$25:$A$50,A182,'USCG Summary'!$P$25:$P$50)/3.2808^2</f>
        <v>0</v>
      </c>
      <c r="AB182" s="155">
        <f>SUMIF('USCG Summary'!$A$25:$A$50,A182,'USCG Summary'!$Q$25:$Q$50)/3.2808^2</f>
        <v>0</v>
      </c>
      <c r="AC182" s="155">
        <f>SUMIF('USCG Summary'!$A$25:$A$50,A182,'USCG Summary'!$T$25:$T$50)/3.2808^2</f>
        <v>0</v>
      </c>
      <c r="AD182" s="155">
        <f>SUMIF('USCG Summary'!$A$25:$A$50,A182,'USCG Summary'!$W$25:$W$50)/3.2808^2</f>
        <v>0</v>
      </c>
      <c r="AE182" s="155">
        <f>SUMIF('USCG Summary'!$A$25:$A$50,A182,'USCG Summary'!$Z$25:$Z$50)/3.2808^2</f>
        <v>0</v>
      </c>
      <c r="AF182" s="155">
        <f>SUMIF(Comp!$A$75:$A$400,Areas!A182,Comp!$F$75:$F$400)</f>
        <v>4.5</v>
      </c>
      <c r="AG182" s="155">
        <f>SUMIF(Comp!$A$75:$A$400,Areas!A182,Comp!$G$75:$G$400)</f>
        <v>4.5</v>
      </c>
      <c r="AH182" s="155"/>
      <c r="AI182" s="155"/>
      <c r="AK182" s="147"/>
    </row>
    <row r="183" spans="1:37" s="148" customFormat="1">
      <c r="A183" s="146">
        <v>2.1121200999999998</v>
      </c>
      <c r="B183" s="148" t="str">
        <f>Comp!B175</f>
        <v>EXECUTIVE OFFICER BATH</v>
      </c>
      <c r="C183" s="147">
        <f t="shared" si="60"/>
        <v>0</v>
      </c>
      <c r="D183" s="147">
        <f t="shared" si="60"/>
        <v>0</v>
      </c>
      <c r="E183" s="147">
        <f t="shared" si="60"/>
        <v>4.0878331754983774</v>
      </c>
      <c r="F183" s="147">
        <f t="shared" si="60"/>
        <v>2.66</v>
      </c>
      <c r="G183" s="411"/>
      <c r="H183" s="411"/>
      <c r="I183" s="411"/>
      <c r="J183" s="411"/>
      <c r="K183" s="411"/>
      <c r="L183" s="411"/>
      <c r="M183" s="411"/>
      <c r="N183" s="411"/>
      <c r="O183" s="411"/>
      <c r="P183" s="147">
        <f t="shared" si="58"/>
        <v>2.7</v>
      </c>
      <c r="Q183" s="147">
        <f t="shared" si="58"/>
        <v>2.7</v>
      </c>
      <c r="S183" s="155">
        <f>SUMIF('Flt III'!D:D,A183,'Flt III'!E:E)/3.2808^2</f>
        <v>0</v>
      </c>
      <c r="T183" s="155">
        <f>SUMIF('Flt IIa'!A:A,A183,'Flt IIa'!E:E)/3.2808^2</f>
        <v>0</v>
      </c>
      <c r="U183" s="155">
        <f>SUMIF('OPC Des'!A:A,A183,'OPC Des'!F:F)/3.2808^2</f>
        <v>4.0878331754983774</v>
      </c>
      <c r="V183" s="155">
        <f>SUMIF('LCS 5'!A:A,A183,'LCS 5'!E:E)</f>
        <v>2.66</v>
      </c>
      <c r="W183" s="155">
        <f>SUMIF('USCG Summary'!$A$25:$A$50,A183,'USCG Summary'!$D$25:$D$50)/3.2808^2</f>
        <v>0</v>
      </c>
      <c r="X183" s="155">
        <f>SUMIF('USCG Summary'!$A$25:$A$50,A183,'USCG Summary'!$I$25:$I$50)/3.2808^2</f>
        <v>0</v>
      </c>
      <c r="Y183" s="155">
        <f>SUMIF('USCG Summary'!$A$25:$A$50,A183,'USCG Summary'!$L$25:$L$50)/3.2808^2</f>
        <v>0</v>
      </c>
      <c r="Z183" s="155">
        <f>SUMIF('USCG Summary'!$A$25:$A$50,A183,'USCG Summary'!$O$25:$O$50)/3.2808^2</f>
        <v>0</v>
      </c>
      <c r="AA183" s="155">
        <f>SUMIF('USCG Summary'!$A$25:$A$50,A183,'USCG Summary'!$P$25:$P$50)/3.2808^2</f>
        <v>0</v>
      </c>
      <c r="AB183" s="155">
        <f>SUMIF('USCG Summary'!$A$25:$A$50,A183,'USCG Summary'!$Q$25:$Q$50)/3.2808^2</f>
        <v>0</v>
      </c>
      <c r="AC183" s="155">
        <f>SUMIF('USCG Summary'!$A$25:$A$50,A183,'USCG Summary'!$T$25:$T$50)/3.2808^2</f>
        <v>0</v>
      </c>
      <c r="AD183" s="155">
        <f>SUMIF('USCG Summary'!$A$25:$A$50,A183,'USCG Summary'!$W$25:$W$50)/3.2808^2</f>
        <v>0</v>
      </c>
      <c r="AE183" s="155">
        <f>SUMIF('USCG Summary'!$A$25:$A$50,A183,'USCG Summary'!$Z$25:$Z$50)/3.2808^2</f>
        <v>0</v>
      </c>
      <c r="AF183" s="155">
        <f>SUMIF(Comp!$A$75:$A$400,Areas!A183,Comp!$F$75:$F$400)</f>
        <v>2.7</v>
      </c>
      <c r="AG183" s="155">
        <f>SUMIF(Comp!$A$75:$A$400,Areas!A183,Comp!$G$75:$G$400)</f>
        <v>2.7</v>
      </c>
      <c r="AH183" s="155"/>
      <c r="AI183" s="155"/>
      <c r="AK183" s="147"/>
    </row>
    <row r="184" spans="1:37" s="148" customFormat="1">
      <c r="A184" s="146">
        <v>2.1121203</v>
      </c>
      <c r="B184" s="148" t="str">
        <f>Comp!B176</f>
        <v>OFFICER BATH</v>
      </c>
      <c r="C184" s="147">
        <f t="shared" si="60"/>
        <v>0</v>
      </c>
      <c r="D184" s="147">
        <f t="shared" si="60"/>
        <v>0</v>
      </c>
      <c r="E184" s="147">
        <f t="shared" si="60"/>
        <v>0</v>
      </c>
      <c r="F184" s="147">
        <f t="shared" si="60"/>
        <v>0</v>
      </c>
      <c r="G184" s="411"/>
      <c r="H184" s="411"/>
      <c r="I184" s="411"/>
      <c r="J184" s="411"/>
      <c r="K184" s="411"/>
      <c r="L184" s="411"/>
      <c r="M184" s="411"/>
      <c r="N184" s="411"/>
      <c r="O184" s="411"/>
      <c r="P184" s="147">
        <f t="shared" si="58"/>
        <v>4.2</v>
      </c>
      <c r="Q184" s="147">
        <f t="shared" si="58"/>
        <v>4.2</v>
      </c>
      <c r="S184" s="155">
        <f>SUMIF('Flt III'!D:D,A184,'Flt III'!E:E)/3.2808^2</f>
        <v>0</v>
      </c>
      <c r="T184" s="155">
        <f>SUMIF('Flt IIa'!A:A,A184,'Flt IIa'!E:E)/3.2808^2</f>
        <v>0</v>
      </c>
      <c r="U184" s="155">
        <f>SUMIF('OPC Des'!A:A,A184,'OPC Des'!F:F)/3.2808^2</f>
        <v>0</v>
      </c>
      <c r="V184" s="155">
        <f>SUMIF('LCS 5'!A:A,A184,'LCS 5'!E:E)</f>
        <v>0</v>
      </c>
      <c r="W184" s="155">
        <f>SUMIF('USCG Summary'!$A$25:$A$50,A184,'USCG Summary'!$D$25:$D$50)/3.2808^2</f>
        <v>0</v>
      </c>
      <c r="X184" s="155">
        <f>SUMIF('USCG Summary'!$A$25:$A$50,A184,'USCG Summary'!$I$25:$I$50)/3.2808^2</f>
        <v>0</v>
      </c>
      <c r="Y184" s="155">
        <f>SUMIF('USCG Summary'!$A$25:$A$50,A184,'USCG Summary'!$L$25:$L$50)/3.2808^2</f>
        <v>0</v>
      </c>
      <c r="Z184" s="155">
        <f>SUMIF('USCG Summary'!$A$25:$A$50,A184,'USCG Summary'!$O$25:$O$50)/3.2808^2</f>
        <v>0</v>
      </c>
      <c r="AA184" s="155">
        <f>SUMIF('USCG Summary'!$A$25:$A$50,A184,'USCG Summary'!$P$25:$P$50)/3.2808^2</f>
        <v>0</v>
      </c>
      <c r="AB184" s="155">
        <f>SUMIF('USCG Summary'!$A$25:$A$50,A184,'USCG Summary'!$Q$25:$Q$50)/3.2808^2</f>
        <v>0</v>
      </c>
      <c r="AC184" s="155">
        <f>SUMIF('USCG Summary'!$A$25:$A$50,A184,'USCG Summary'!$T$25:$T$50)/3.2808^2</f>
        <v>0</v>
      </c>
      <c r="AD184" s="155">
        <f>SUMIF('USCG Summary'!$A$25:$A$50,A184,'USCG Summary'!$W$25:$W$50)/3.2808^2</f>
        <v>0</v>
      </c>
      <c r="AE184" s="155">
        <f>SUMIF('USCG Summary'!$A$25:$A$50,A184,'USCG Summary'!$Z$25:$Z$50)/3.2808^2</f>
        <v>0</v>
      </c>
      <c r="AF184" s="155">
        <f>SUMIF(Comp!$A$75:$A$400,Areas!A184,Comp!$F$75:$F$400)</f>
        <v>4.2</v>
      </c>
      <c r="AG184" s="155">
        <f>SUMIF(Comp!$A$75:$A$400,Areas!A184,Comp!$G$75:$G$400)</f>
        <v>4.2</v>
      </c>
      <c r="AH184" s="155"/>
      <c r="AI184" s="155"/>
      <c r="AK184" s="147"/>
    </row>
    <row r="185" spans="1:37" s="148" customFormat="1">
      <c r="A185" s="146">
        <v>2.1121303</v>
      </c>
      <c r="B185" s="148" t="str">
        <f>Comp!B177</f>
        <v>OFFICER WR, WC &amp; SH</v>
      </c>
      <c r="C185" s="147">
        <f t="shared" si="60"/>
        <v>0</v>
      </c>
      <c r="D185" s="147">
        <f t="shared" si="60"/>
        <v>0</v>
      </c>
      <c r="E185" s="147">
        <f t="shared" si="60"/>
        <v>30.472938217351544</v>
      </c>
      <c r="F185" s="147">
        <f t="shared" si="60"/>
        <v>0</v>
      </c>
      <c r="G185" s="411"/>
      <c r="H185" s="411"/>
      <c r="I185" s="411"/>
      <c r="J185" s="411"/>
      <c r="K185" s="411"/>
      <c r="L185" s="411"/>
      <c r="M185" s="411"/>
      <c r="N185" s="411"/>
      <c r="O185" s="411"/>
      <c r="P185" s="147">
        <f t="shared" si="58"/>
        <v>26.8</v>
      </c>
      <c r="Q185" s="147">
        <f t="shared" si="58"/>
        <v>26.8</v>
      </c>
      <c r="S185" s="155">
        <f>SUMIF('Flt III'!D:D,A185,'Flt III'!E:E)/3.2808^2</f>
        <v>0</v>
      </c>
      <c r="T185" s="155">
        <f>SUMIF('Flt IIa'!A:A,A185,'Flt IIa'!E:E)/3.2808^2</f>
        <v>0</v>
      </c>
      <c r="U185" s="155">
        <f>SUMIF('OPC Des'!A:A,A185,'OPC Des'!F:F)/3.2808^2</f>
        <v>30.472938217351544</v>
      </c>
      <c r="V185" s="155">
        <f>SUMIF('LCS 5'!A:A,A185,'LCS 5'!E:E)</f>
        <v>0</v>
      </c>
      <c r="W185" s="155">
        <f>SUMIF('USCG Summary'!$A$25:$A$50,A185,'USCG Summary'!$D$25:$D$50)/3.2808^2</f>
        <v>0</v>
      </c>
      <c r="X185" s="155">
        <f>SUMIF('USCG Summary'!$A$25:$A$50,A185,'USCG Summary'!$I$25:$I$50)/3.2808^2</f>
        <v>0</v>
      </c>
      <c r="Y185" s="155">
        <f>SUMIF('USCG Summary'!$A$25:$A$50,A185,'USCG Summary'!$L$25:$L$50)/3.2808^2</f>
        <v>0</v>
      </c>
      <c r="Z185" s="155">
        <f>SUMIF('USCG Summary'!$A$25:$A$50,A185,'USCG Summary'!$O$25:$O$50)/3.2808^2</f>
        <v>0</v>
      </c>
      <c r="AA185" s="155">
        <f>SUMIF('USCG Summary'!$A$25:$A$50,A185,'USCG Summary'!$P$25:$P$50)/3.2808^2</f>
        <v>0</v>
      </c>
      <c r="AB185" s="155">
        <f>SUMIF('USCG Summary'!$A$25:$A$50,A185,'USCG Summary'!$Q$25:$Q$50)/3.2808^2</f>
        <v>0</v>
      </c>
      <c r="AC185" s="155">
        <f>SUMIF('USCG Summary'!$A$25:$A$50,A185,'USCG Summary'!$T$25:$T$50)/3.2808^2</f>
        <v>0</v>
      </c>
      <c r="AD185" s="155">
        <f>SUMIF('USCG Summary'!$A$25:$A$50,A185,'USCG Summary'!$W$25:$W$50)/3.2808^2</f>
        <v>0</v>
      </c>
      <c r="AE185" s="155">
        <f>SUMIF('USCG Summary'!$A$25:$A$50,A185,'USCG Summary'!$Z$25:$Z$50)/3.2808^2</f>
        <v>0</v>
      </c>
      <c r="AF185" s="155">
        <f>SUMIF(Comp!$A$75:$A$400,Areas!A185,Comp!$F$75:$F$400)</f>
        <v>26.8</v>
      </c>
      <c r="AG185" s="155">
        <f>SUMIF(Comp!$A$75:$A$400,Areas!A185,Comp!$G$75:$G$400)</f>
        <v>26.8</v>
      </c>
      <c r="AH185" s="155"/>
      <c r="AI185" s="155"/>
      <c r="AK185" s="147"/>
    </row>
    <row r="186" spans="1:37" s="141" customFormat="1">
      <c r="A186" s="144">
        <v>2.1124000000000001</v>
      </c>
      <c r="B186" s="141" t="str">
        <f>Comp!B178</f>
        <v>AVIATION OFFICER</v>
      </c>
      <c r="C186" s="145">
        <f t="shared" si="60"/>
        <v>0</v>
      </c>
      <c r="D186" s="145">
        <f t="shared" si="60"/>
        <v>0</v>
      </c>
      <c r="E186" s="145">
        <f t="shared" si="60"/>
        <v>0</v>
      </c>
      <c r="F186" s="145">
        <f t="shared" si="60"/>
        <v>0</v>
      </c>
      <c r="G186" s="412"/>
      <c r="H186" s="412"/>
      <c r="I186" s="412"/>
      <c r="J186" s="412"/>
      <c r="K186" s="412"/>
      <c r="L186" s="412"/>
      <c r="M186" s="412"/>
      <c r="N186" s="412"/>
      <c r="O186" s="412"/>
      <c r="P186" s="145">
        <f t="shared" si="58"/>
        <v>0</v>
      </c>
      <c r="Q186" s="145">
        <f t="shared" si="58"/>
        <v>0</v>
      </c>
      <c r="S186" s="156">
        <f>SUMIF('Flt III'!D:D,A186,'Flt III'!E:E)/3.2808^2</f>
        <v>0</v>
      </c>
      <c r="T186" s="156">
        <f>SUMIF('Flt IIa'!A:A,A186,'Flt IIa'!E:E)/3.2808^2</f>
        <v>0</v>
      </c>
      <c r="U186" s="156">
        <f>SUMIF('OPC Des'!A:A,A186,'OPC Des'!F:F)/3.2808^2</f>
        <v>0</v>
      </c>
      <c r="V186" s="156">
        <f>SUMIF('LCS 5'!A:A,A186,'LCS 5'!E:E)</f>
        <v>0</v>
      </c>
      <c r="W186" s="156">
        <f>SUMIF('USCG Summary'!$A$25:$A$50,A186,'USCG Summary'!$D$25:$D$50)/3.2808^2</f>
        <v>0</v>
      </c>
      <c r="X186" s="156">
        <f>SUMIF('USCG Summary'!$A$25:$A$50,A186,'USCG Summary'!$I$25:$I$50)/3.2808^2</f>
        <v>0</v>
      </c>
      <c r="Y186" s="156">
        <f>SUMIF('USCG Summary'!$A$25:$A$50,A186,'USCG Summary'!$L$25:$L$50)/3.2808^2</f>
        <v>0</v>
      </c>
      <c r="Z186" s="156">
        <f>SUMIF('USCG Summary'!$A$25:$A$50,A186,'USCG Summary'!$O$25:$O$50)/3.2808^2</f>
        <v>0</v>
      </c>
      <c r="AA186" s="156">
        <f>SUMIF('USCG Summary'!$A$25:$A$50,A186,'USCG Summary'!$P$25:$P$50)/3.2808^2</f>
        <v>0</v>
      </c>
      <c r="AB186" s="156">
        <f>SUMIF('USCG Summary'!$A$25:$A$50,A186,'USCG Summary'!$Q$25:$Q$50)/3.2808^2</f>
        <v>0</v>
      </c>
      <c r="AC186" s="156">
        <f>SUMIF('USCG Summary'!$A$25:$A$50,A186,'USCG Summary'!$T$25:$T$50)/3.2808^2</f>
        <v>0</v>
      </c>
      <c r="AD186" s="156">
        <f>SUMIF('USCG Summary'!$A$25:$A$50,A186,'USCG Summary'!$W$25:$W$50)/3.2808^2</f>
        <v>0</v>
      </c>
      <c r="AE186" s="156">
        <f>SUMIF('USCG Summary'!$A$25:$A$50,A186,'USCG Summary'!$Z$25:$Z$50)/3.2808^2</f>
        <v>0</v>
      </c>
      <c r="AF186" s="156">
        <f>SUMIF(Comp!$A$75:$A$400,Areas!A186,Comp!$F$75:$F$400)</f>
        <v>0</v>
      </c>
      <c r="AG186" s="156">
        <f>SUMIF(Comp!$A$75:$A$400,Areas!A186,Comp!$G$75:$G$400)</f>
        <v>0</v>
      </c>
      <c r="AH186" s="156"/>
      <c r="AI186" s="156"/>
      <c r="AK186" s="145"/>
    </row>
    <row r="187" spans="1:37" s="141" customFormat="1">
      <c r="A187" s="144">
        <v>2.1124999999999998</v>
      </c>
      <c r="B187" s="141" t="str">
        <f>Comp!B179</f>
        <v>FLAG OFFICER</v>
      </c>
      <c r="C187" s="145">
        <f t="shared" si="60"/>
        <v>0</v>
      </c>
      <c r="D187" s="145">
        <f t="shared" si="60"/>
        <v>0</v>
      </c>
      <c r="E187" s="145">
        <f t="shared" si="60"/>
        <v>0</v>
      </c>
      <c r="F187" s="145">
        <f t="shared" si="60"/>
        <v>0</v>
      </c>
      <c r="G187" s="412"/>
      <c r="H187" s="412"/>
      <c r="I187" s="412"/>
      <c r="J187" s="412"/>
      <c r="K187" s="412"/>
      <c r="L187" s="412"/>
      <c r="M187" s="412"/>
      <c r="N187" s="412"/>
      <c r="O187" s="412"/>
      <c r="P187" s="145">
        <f t="shared" si="58"/>
        <v>0</v>
      </c>
      <c r="Q187" s="145">
        <f t="shared" si="58"/>
        <v>0</v>
      </c>
      <c r="S187" s="156">
        <f>SUMIF('Flt III'!D:D,A187,'Flt III'!E:E)/3.2808^2</f>
        <v>0</v>
      </c>
      <c r="T187" s="156">
        <f>SUMIF('Flt IIa'!A:A,A187,'Flt IIa'!E:E)/3.2808^2</f>
        <v>0</v>
      </c>
      <c r="U187" s="156">
        <f>SUMIF('OPC Des'!A:A,A187,'OPC Des'!F:F)/3.2808^2</f>
        <v>0</v>
      </c>
      <c r="V187" s="156">
        <f>SUMIF('LCS 5'!A:A,A187,'LCS 5'!E:E)</f>
        <v>0</v>
      </c>
      <c r="W187" s="156">
        <f>SUMIF('USCG Summary'!$A$25:$A$50,A187,'USCG Summary'!$D$25:$D$50)/3.2808^2</f>
        <v>0</v>
      </c>
      <c r="X187" s="156">
        <f>SUMIF('USCG Summary'!$A$25:$A$50,A187,'USCG Summary'!$I$25:$I$50)/3.2808^2</f>
        <v>0</v>
      </c>
      <c r="Y187" s="156">
        <f>SUMIF('USCG Summary'!$A$25:$A$50,A187,'USCG Summary'!$L$25:$L$50)/3.2808^2</f>
        <v>0</v>
      </c>
      <c r="Z187" s="156">
        <f>SUMIF('USCG Summary'!$A$25:$A$50,A187,'USCG Summary'!$O$25:$O$50)/3.2808^2</f>
        <v>0</v>
      </c>
      <c r="AA187" s="156">
        <f>SUMIF('USCG Summary'!$A$25:$A$50,A187,'USCG Summary'!$P$25:$P$50)/3.2808^2</f>
        <v>0</v>
      </c>
      <c r="AB187" s="156">
        <f>SUMIF('USCG Summary'!$A$25:$A$50,A187,'USCG Summary'!$Q$25:$Q$50)/3.2808^2</f>
        <v>0</v>
      </c>
      <c r="AC187" s="156">
        <f>SUMIF('USCG Summary'!$A$25:$A$50,A187,'USCG Summary'!$T$25:$T$50)/3.2808^2</f>
        <v>0</v>
      </c>
      <c r="AD187" s="156">
        <f>SUMIF('USCG Summary'!$A$25:$A$50,A187,'USCG Summary'!$W$25:$W$50)/3.2808^2</f>
        <v>0</v>
      </c>
      <c r="AE187" s="156">
        <f>SUMIF('USCG Summary'!$A$25:$A$50,A187,'USCG Summary'!$Z$25:$Z$50)/3.2808^2</f>
        <v>0</v>
      </c>
      <c r="AF187" s="156">
        <f>SUMIF(Comp!$A$75:$A$400,Areas!A187,Comp!$F$75:$F$400)</f>
        <v>0</v>
      </c>
      <c r="AG187" s="156">
        <f>SUMIF(Comp!$A$75:$A$400,Areas!A187,Comp!$G$75:$G$400)</f>
        <v>0</v>
      </c>
      <c r="AH187" s="156"/>
      <c r="AI187" s="156"/>
      <c r="AK187" s="145"/>
    </row>
    <row r="188" spans="1:37" s="134" customFormat="1">
      <c r="A188" s="140">
        <v>2.12</v>
      </c>
      <c r="B188" s="134" t="str">
        <f>Comp!B180</f>
        <v>CPO LIVING</v>
      </c>
      <c r="C188" s="149">
        <f>C189+C192</f>
        <v>76.36815614226515</v>
      </c>
      <c r="D188" s="149">
        <f>D189+D192</f>
        <v>83.05733770217158</v>
      </c>
      <c r="E188" s="149">
        <f>E189+E192</f>
        <v>0</v>
      </c>
      <c r="F188" s="149">
        <f>F189+F192</f>
        <v>0</v>
      </c>
      <c r="G188" s="409"/>
      <c r="H188" s="409"/>
      <c r="I188" s="409"/>
      <c r="J188" s="409"/>
      <c r="K188" s="409"/>
      <c r="L188" s="409"/>
      <c r="M188" s="409"/>
      <c r="N188" s="409"/>
      <c r="O188" s="409"/>
      <c r="P188" s="149">
        <f t="shared" si="58"/>
        <v>116.5</v>
      </c>
      <c r="Q188" s="149">
        <f t="shared" si="58"/>
        <v>116.5</v>
      </c>
      <c r="S188" s="153">
        <f>SUMIF('Flt III'!D:D,A188,'Flt III'!E:E)/3.2808^2</f>
        <v>0</v>
      </c>
      <c r="T188" s="153">
        <f>SUMIF('Flt IIa'!A:A,A188,'Flt IIa'!E:E)/3.2808^2</f>
        <v>0</v>
      </c>
      <c r="U188" s="153">
        <f>SUMIF('OPC Des'!A:A,A188,'OPC Des'!F:F)/3.2808^2</f>
        <v>0</v>
      </c>
      <c r="V188" s="153">
        <f>SUMIF('LCS 5'!A:A,A188,'LCS 5'!E:E)</f>
        <v>0</v>
      </c>
      <c r="W188" s="153">
        <f>SUMIF('USCG Summary'!$A$25:$A$50,A188,'USCG Summary'!$D$25:$D$50)/3.2808^2</f>
        <v>0</v>
      </c>
      <c r="X188" s="153">
        <f>SUMIF('USCG Summary'!$A$25:$A$50,A188,'USCG Summary'!$I$25:$I$50)/3.2808^2</f>
        <v>0</v>
      </c>
      <c r="Y188" s="153">
        <f>SUMIF('USCG Summary'!$A$25:$A$50,A188,'USCG Summary'!$L$25:$L$50)/3.2808^2</f>
        <v>0</v>
      </c>
      <c r="Z188" s="153">
        <f>SUMIF('USCG Summary'!$A$25:$A$50,A188,'USCG Summary'!$O$25:$O$50)/3.2808^2</f>
        <v>0</v>
      </c>
      <c r="AA188" s="153">
        <f>SUMIF('USCG Summary'!$A$25:$A$50,A188,'USCG Summary'!$P$25:$P$50)/3.2808^2</f>
        <v>0</v>
      </c>
      <c r="AB188" s="153">
        <f>SUMIF('USCG Summary'!$A$25:$A$50,A188,'USCG Summary'!$Q$25:$Q$50)/3.2808^2</f>
        <v>0</v>
      </c>
      <c r="AC188" s="153">
        <f>SUMIF('USCG Summary'!$A$25:$A$50,A188,'USCG Summary'!$T$25:$T$50)/3.2808^2</f>
        <v>0</v>
      </c>
      <c r="AD188" s="153">
        <f>SUMIF('USCG Summary'!$A$25:$A$50,A188,'USCG Summary'!$W$25:$W$50)/3.2808^2</f>
        <v>0</v>
      </c>
      <c r="AE188" s="153">
        <f>SUMIF('USCG Summary'!$A$25:$A$50,A188,'USCG Summary'!$Z$25:$Z$50)/3.2808^2</f>
        <v>0</v>
      </c>
      <c r="AF188" s="153">
        <f>SUMIF(Comp!$A$75:$A$400,Areas!A188,Comp!$F$75:$F$400)</f>
        <v>116.5</v>
      </c>
      <c r="AG188" s="153">
        <f>SUMIF(Comp!$A$75:$A$400,Areas!A188,Comp!$G$75:$G$400)</f>
        <v>116.5</v>
      </c>
      <c r="AH188" s="153"/>
      <c r="AI188" s="153"/>
      <c r="AK188" s="133"/>
    </row>
    <row r="189" spans="1:37" s="132" customFormat="1">
      <c r="A189" s="142">
        <v>2.121</v>
      </c>
      <c r="B189" s="132" t="str">
        <f>Comp!B181</f>
        <v>BERTHING</v>
      </c>
      <c r="C189" s="143">
        <f>SUM(C190)</f>
        <v>62.246550626907116</v>
      </c>
      <c r="D189" s="143">
        <f>T189</f>
        <v>62.618171824679692</v>
      </c>
      <c r="E189" s="143">
        <f>U189</f>
        <v>0</v>
      </c>
      <c r="F189" s="143">
        <f>V189</f>
        <v>0</v>
      </c>
      <c r="G189" s="410"/>
      <c r="H189" s="410"/>
      <c r="I189" s="410"/>
      <c r="J189" s="410"/>
      <c r="K189" s="410"/>
      <c r="L189" s="410"/>
      <c r="M189" s="410"/>
      <c r="N189" s="410"/>
      <c r="O189" s="410"/>
      <c r="P189" s="143">
        <f t="shared" si="58"/>
        <v>89.4</v>
      </c>
      <c r="Q189" s="143">
        <f t="shared" si="58"/>
        <v>89.4</v>
      </c>
      <c r="S189" s="154">
        <f>SUMIF('Flt III'!D:D,A189,'Flt III'!E:E)/3.2808^2</f>
        <v>0</v>
      </c>
      <c r="T189" s="154">
        <f>SUMIF('Flt IIa'!A:A,A189,'Flt IIa'!E:E)/3.2808^2</f>
        <v>62.618171824679692</v>
      </c>
      <c r="U189" s="154">
        <f>SUMIF('OPC Des'!A:A,A189,'OPC Des'!F:F)/3.2808^2</f>
        <v>0</v>
      </c>
      <c r="V189" s="154">
        <f>SUMIF('LCS 5'!A:A,A189,'LCS 5'!E:E)</f>
        <v>0</v>
      </c>
      <c r="W189" s="154">
        <f>SUMIF('USCG Summary'!$A$25:$A$50,A189,'USCG Summary'!$D$25:$D$50)/3.2808^2</f>
        <v>0</v>
      </c>
      <c r="X189" s="154">
        <f>SUMIF('USCG Summary'!$A$25:$A$50,A189,'USCG Summary'!$I$25:$I$50)/3.2808^2</f>
        <v>0</v>
      </c>
      <c r="Y189" s="154">
        <f>SUMIF('USCG Summary'!$A$25:$A$50,A189,'USCG Summary'!$L$25:$L$50)/3.2808^2</f>
        <v>0</v>
      </c>
      <c r="Z189" s="154">
        <f>SUMIF('USCG Summary'!$A$25:$A$50,A189,'USCG Summary'!$O$25:$O$50)/3.2808^2</f>
        <v>0</v>
      </c>
      <c r="AA189" s="154">
        <f>SUMIF('USCG Summary'!$A$25:$A$50,A189,'USCG Summary'!$P$25:$P$50)/3.2808^2</f>
        <v>0</v>
      </c>
      <c r="AB189" s="154">
        <f>SUMIF('USCG Summary'!$A$25:$A$50,A189,'USCG Summary'!$Q$25:$Q$50)/3.2808^2</f>
        <v>0</v>
      </c>
      <c r="AC189" s="154">
        <f>SUMIF('USCG Summary'!$A$25:$A$50,A189,'USCG Summary'!$T$25:$T$50)/3.2808^2</f>
        <v>0</v>
      </c>
      <c r="AD189" s="154">
        <f>SUMIF('USCG Summary'!$A$25:$A$50,A189,'USCG Summary'!$W$25:$W$50)/3.2808^2</f>
        <v>0</v>
      </c>
      <c r="AE189" s="154">
        <f>SUMIF('USCG Summary'!$A$25:$A$50,A189,'USCG Summary'!$Z$25:$Z$50)/3.2808^2</f>
        <v>0</v>
      </c>
      <c r="AF189" s="154">
        <f>SUMIF(Comp!$A$75:$A$400,Areas!A189,Comp!$F$75:$F$400)</f>
        <v>89.4</v>
      </c>
      <c r="AG189" s="154">
        <f>SUMIF(Comp!$A$75:$A$400,Areas!A189,Comp!$G$75:$G$400)</f>
        <v>89.4</v>
      </c>
      <c r="AH189" s="154"/>
      <c r="AI189" s="154"/>
      <c r="AK189" s="143"/>
    </row>
    <row r="190" spans="1:37" s="141" customFormat="1">
      <c r="A190" s="144">
        <v>2.1211000000000002</v>
      </c>
      <c r="B190" s="141" t="str">
        <f>Comp!B182</f>
        <v>SHIP CPO</v>
      </c>
      <c r="C190" s="145">
        <f>SUM(C191)+S190</f>
        <v>62.246550626907116</v>
      </c>
      <c r="D190" s="145">
        <f>SUM(D191)+T190</f>
        <v>0</v>
      </c>
      <c r="E190" s="145">
        <f>SUM(E191)+U190</f>
        <v>0</v>
      </c>
      <c r="F190" s="145">
        <f>SUM(F191)+V190</f>
        <v>0</v>
      </c>
      <c r="G190" s="412"/>
      <c r="H190" s="412"/>
      <c r="I190" s="412"/>
      <c r="J190" s="412"/>
      <c r="K190" s="412"/>
      <c r="L190" s="412"/>
      <c r="M190" s="412"/>
      <c r="N190" s="412"/>
      <c r="O190" s="412"/>
      <c r="P190" s="145">
        <f t="shared" si="58"/>
        <v>89.4</v>
      </c>
      <c r="Q190" s="145">
        <f t="shared" si="58"/>
        <v>89.4</v>
      </c>
      <c r="S190" s="156">
        <f>SUMIF('Flt III'!D:D,A190,'Flt III'!E:E)/3.2808^2</f>
        <v>0</v>
      </c>
      <c r="T190" s="156">
        <f>SUMIF('Flt IIa'!A:A,A190,'Flt IIa'!E:E)/3.2808^2</f>
        <v>0</v>
      </c>
      <c r="U190" s="156">
        <f>SUMIF('OPC Des'!A:A,A190,'OPC Des'!F:F)/3.2808^2</f>
        <v>0</v>
      </c>
      <c r="V190" s="156">
        <f>SUMIF('LCS 5'!A:A,A190,'LCS 5'!E:E)</f>
        <v>0</v>
      </c>
      <c r="W190" s="156">
        <f>SUMIF('USCG Summary'!$A$25:$A$50,A190,'USCG Summary'!$D$25:$D$50)/3.2808^2</f>
        <v>0</v>
      </c>
      <c r="X190" s="156">
        <f>SUMIF('USCG Summary'!$A$25:$A$50,A190,'USCG Summary'!$I$25:$I$50)/3.2808^2</f>
        <v>0</v>
      </c>
      <c r="Y190" s="156">
        <f>SUMIF('USCG Summary'!$A$25:$A$50,A190,'USCG Summary'!$L$25:$L$50)/3.2808^2</f>
        <v>0</v>
      </c>
      <c r="Z190" s="156">
        <f>SUMIF('USCG Summary'!$A$25:$A$50,A190,'USCG Summary'!$O$25:$O$50)/3.2808^2</f>
        <v>0</v>
      </c>
      <c r="AA190" s="156">
        <f>SUMIF('USCG Summary'!$A$25:$A$50,A190,'USCG Summary'!$P$25:$P$50)/3.2808^2</f>
        <v>0</v>
      </c>
      <c r="AB190" s="156">
        <f>SUMIF('USCG Summary'!$A$25:$A$50,A190,'USCG Summary'!$Q$25:$Q$50)/3.2808^2</f>
        <v>0</v>
      </c>
      <c r="AC190" s="156">
        <f>SUMIF('USCG Summary'!$A$25:$A$50,A190,'USCG Summary'!$T$25:$T$50)/3.2808^2</f>
        <v>0</v>
      </c>
      <c r="AD190" s="156">
        <f>SUMIF('USCG Summary'!$A$25:$A$50,A190,'USCG Summary'!$W$25:$W$50)/3.2808^2</f>
        <v>0</v>
      </c>
      <c r="AE190" s="156">
        <f>SUMIF('USCG Summary'!$A$25:$A$50,A190,'USCG Summary'!$Z$25:$Z$50)/3.2808^2</f>
        <v>0</v>
      </c>
      <c r="AF190" s="156">
        <f>SUMIF(Comp!$A$75:$A$400,Areas!A190,Comp!$F$75:$F$400)</f>
        <v>89.4</v>
      </c>
      <c r="AG190" s="156">
        <f>SUMIF(Comp!$A$75:$A$400,Areas!A190,Comp!$G$75:$G$400)</f>
        <v>89.4</v>
      </c>
      <c r="AH190" s="156"/>
      <c r="AI190" s="156"/>
      <c r="AK190" s="145"/>
    </row>
    <row r="191" spans="1:37" s="148" customFormat="1">
      <c r="A191" s="146">
        <v>2.1211020899999999</v>
      </c>
      <c r="C191" s="147">
        <f t="shared" ref="C191:F191" si="61">S191</f>
        <v>62.246550626907116</v>
      </c>
      <c r="D191" s="147">
        <f t="shared" si="61"/>
        <v>0</v>
      </c>
      <c r="E191" s="147">
        <f t="shared" si="61"/>
        <v>0</v>
      </c>
      <c r="F191" s="147">
        <f t="shared" si="61"/>
        <v>0</v>
      </c>
      <c r="G191" s="411"/>
      <c r="H191" s="411"/>
      <c r="I191" s="411"/>
      <c r="J191" s="411"/>
      <c r="K191" s="411"/>
      <c r="L191" s="411"/>
      <c r="M191" s="411"/>
      <c r="N191" s="411"/>
      <c r="O191" s="411"/>
      <c r="P191" s="147">
        <f t="shared" si="58"/>
        <v>0</v>
      </c>
      <c r="Q191" s="147">
        <f t="shared" si="58"/>
        <v>0</v>
      </c>
      <c r="S191" s="155">
        <f>SUMIF('Flt III'!D:D,A191,'Flt III'!E:E)/3.2808^2</f>
        <v>62.246550626907116</v>
      </c>
      <c r="T191" s="155">
        <f>SUMIF('Flt IIa'!A:A,A191,'Flt IIa'!E:E)/3.2808^2</f>
        <v>0</v>
      </c>
      <c r="U191" s="155">
        <f>SUMIF('OPC Des'!A:A,A191,'OPC Des'!F:F)/3.2808^2</f>
        <v>0</v>
      </c>
      <c r="V191" s="155">
        <f>SUMIF('LCS 5'!A:A,A191,'LCS 5'!E:E)</f>
        <v>0</v>
      </c>
      <c r="W191" s="155">
        <f>SUMIF('USCG Summary'!$A$25:$A$50,A191,'USCG Summary'!$D$25:$D$50)/3.2808^2</f>
        <v>0</v>
      </c>
      <c r="X191" s="155">
        <f>SUMIF('USCG Summary'!$A$25:$A$50,A191,'USCG Summary'!$I$25:$I$50)/3.2808^2</f>
        <v>0</v>
      </c>
      <c r="Y191" s="155">
        <f>SUMIF('USCG Summary'!$A$25:$A$50,A191,'USCG Summary'!$L$25:$L$50)/3.2808^2</f>
        <v>0</v>
      </c>
      <c r="Z191" s="155">
        <f>SUMIF('USCG Summary'!$A$25:$A$50,A191,'USCG Summary'!$O$25:$O$50)/3.2808^2</f>
        <v>0</v>
      </c>
      <c r="AA191" s="155">
        <f>SUMIF('USCG Summary'!$A$25:$A$50,A191,'USCG Summary'!$P$25:$P$50)/3.2808^2</f>
        <v>0</v>
      </c>
      <c r="AB191" s="155">
        <f>SUMIF('USCG Summary'!$A$25:$A$50,A191,'USCG Summary'!$Q$25:$Q$50)/3.2808^2</f>
        <v>0</v>
      </c>
      <c r="AC191" s="155">
        <f>SUMIF('USCG Summary'!$A$25:$A$50,A191,'USCG Summary'!$T$25:$T$50)/3.2808^2</f>
        <v>0</v>
      </c>
      <c r="AD191" s="155">
        <f>SUMIF('USCG Summary'!$A$25:$A$50,A191,'USCG Summary'!$W$25:$W$50)/3.2808^2</f>
        <v>0</v>
      </c>
      <c r="AE191" s="155">
        <f>SUMIF('USCG Summary'!$A$25:$A$50,A191,'USCG Summary'!$Z$25:$Z$50)/3.2808^2</f>
        <v>0</v>
      </c>
      <c r="AF191" s="155">
        <f>SUMIF(Comp!$A$75:$A$400,Areas!A191,Comp!$F$75:$F$400)</f>
        <v>0</v>
      </c>
      <c r="AG191" s="155">
        <f>SUMIF(Comp!$A$75:$A$400,Areas!A191,Comp!$G$75:$G$400)</f>
        <v>0</v>
      </c>
      <c r="AH191" s="155"/>
      <c r="AI191" s="155"/>
      <c r="AK191" s="147"/>
    </row>
    <row r="192" spans="1:37" s="132" customFormat="1">
      <c r="A192" s="142">
        <v>2.1219999999999999</v>
      </c>
      <c r="B192" s="132" t="str">
        <f>Comp!B183</f>
        <v>SANITARY</v>
      </c>
      <c r="C192" s="143">
        <f>SUM(C193)</f>
        <v>14.121605515358032</v>
      </c>
      <c r="D192" s="143">
        <f>T192</f>
        <v>20.439165877491888</v>
      </c>
      <c r="E192" s="143">
        <f>U192</f>
        <v>0</v>
      </c>
      <c r="F192" s="143">
        <f>V192</f>
        <v>0</v>
      </c>
      <c r="G192" s="410"/>
      <c r="H192" s="410"/>
      <c r="I192" s="410"/>
      <c r="J192" s="410"/>
      <c r="K192" s="410"/>
      <c r="L192" s="410"/>
      <c r="M192" s="410"/>
      <c r="N192" s="410"/>
      <c r="O192" s="410"/>
      <c r="P192" s="143">
        <f t="shared" si="58"/>
        <v>27</v>
      </c>
      <c r="Q192" s="143">
        <f t="shared" si="58"/>
        <v>27</v>
      </c>
      <c r="S192" s="154">
        <f>SUMIF('Flt III'!D:D,A192,'Flt III'!E:E)/3.2808^2</f>
        <v>0</v>
      </c>
      <c r="T192" s="154">
        <f>SUMIF('Flt IIa'!A:A,A192,'Flt IIa'!E:E)/3.2808^2</f>
        <v>20.439165877491888</v>
      </c>
      <c r="U192" s="154">
        <f>SUMIF('OPC Des'!A:A,A192,'OPC Des'!F:F)/3.2808^2</f>
        <v>0</v>
      </c>
      <c r="V192" s="154">
        <f>SUMIF('LCS 5'!A:A,A192,'LCS 5'!E:E)</f>
        <v>0</v>
      </c>
      <c r="W192" s="154">
        <f>SUMIF('USCG Summary'!$A$25:$A$50,A192,'USCG Summary'!$D$25:$D$50)/3.2808^2</f>
        <v>0</v>
      </c>
      <c r="X192" s="154">
        <f>SUMIF('USCG Summary'!$A$25:$A$50,A192,'USCG Summary'!$I$25:$I$50)/3.2808^2</f>
        <v>0</v>
      </c>
      <c r="Y192" s="154">
        <f>SUMIF('USCG Summary'!$A$25:$A$50,A192,'USCG Summary'!$L$25:$L$50)/3.2808^2</f>
        <v>0</v>
      </c>
      <c r="Z192" s="154">
        <f>SUMIF('USCG Summary'!$A$25:$A$50,A192,'USCG Summary'!$O$25:$O$50)/3.2808^2</f>
        <v>0</v>
      </c>
      <c r="AA192" s="154">
        <f>SUMIF('USCG Summary'!$A$25:$A$50,A192,'USCG Summary'!$P$25:$P$50)/3.2808^2</f>
        <v>0</v>
      </c>
      <c r="AB192" s="154">
        <f>SUMIF('USCG Summary'!$A$25:$A$50,A192,'USCG Summary'!$Q$25:$Q$50)/3.2808^2</f>
        <v>0</v>
      </c>
      <c r="AC192" s="154">
        <f>SUMIF('USCG Summary'!$A$25:$A$50,A192,'USCG Summary'!$T$25:$T$50)/3.2808^2</f>
        <v>0</v>
      </c>
      <c r="AD192" s="154">
        <f>SUMIF('USCG Summary'!$A$25:$A$50,A192,'USCG Summary'!$W$25:$W$50)/3.2808^2</f>
        <v>0</v>
      </c>
      <c r="AE192" s="154">
        <f>SUMIF('USCG Summary'!$A$25:$A$50,A192,'USCG Summary'!$Z$25:$Z$50)/3.2808^2</f>
        <v>0</v>
      </c>
      <c r="AF192" s="154">
        <f>SUMIF(Comp!$A$75:$A$400,Areas!A192,Comp!$F$75:$F$400)</f>
        <v>27</v>
      </c>
      <c r="AG192" s="154">
        <f>SUMIF(Comp!$A$75:$A$400,Areas!A192,Comp!$G$75:$G$400)</f>
        <v>27</v>
      </c>
      <c r="AH192" s="154"/>
      <c r="AI192" s="154"/>
      <c r="AK192" s="143"/>
    </row>
    <row r="193" spans="1:37" s="141" customFormat="1">
      <c r="A193" s="144">
        <v>2.1221000000000001</v>
      </c>
      <c r="B193" s="141" t="str">
        <f>Comp!B184</f>
        <v>SHIP CPO</v>
      </c>
      <c r="C193" s="145">
        <f>SUM(C194)+S193</f>
        <v>14.121605515358032</v>
      </c>
      <c r="D193" s="145">
        <f>SUM(D194)+T193</f>
        <v>0</v>
      </c>
      <c r="E193" s="145">
        <f>SUM(E194)+U193</f>
        <v>0</v>
      </c>
      <c r="F193" s="145">
        <f>SUM(F194)+V193</f>
        <v>0</v>
      </c>
      <c r="G193" s="412"/>
      <c r="H193" s="412"/>
      <c r="I193" s="412"/>
      <c r="J193" s="412"/>
      <c r="K193" s="412"/>
      <c r="L193" s="412"/>
      <c r="M193" s="412"/>
      <c r="N193" s="412"/>
      <c r="O193" s="412"/>
      <c r="P193" s="145">
        <f t="shared" si="58"/>
        <v>27</v>
      </c>
      <c r="Q193" s="145">
        <f t="shared" si="58"/>
        <v>27</v>
      </c>
      <c r="S193" s="156">
        <f>SUMIF('Flt III'!D:D,A193,'Flt III'!E:E)/3.2808^2</f>
        <v>0</v>
      </c>
      <c r="T193" s="156">
        <f>SUMIF('Flt IIa'!A:A,A193,'Flt IIa'!E:E)/3.2808^2</f>
        <v>0</v>
      </c>
      <c r="U193" s="156">
        <f>SUMIF('OPC Des'!A:A,A193,'OPC Des'!F:F)/3.2808^2</f>
        <v>0</v>
      </c>
      <c r="V193" s="156">
        <f>SUMIF('LCS 5'!A:A,A193,'LCS 5'!E:E)</f>
        <v>0</v>
      </c>
      <c r="W193" s="156">
        <f>SUMIF('USCG Summary'!$A$25:$A$50,A193,'USCG Summary'!$D$25:$D$50)/3.2808^2</f>
        <v>0</v>
      </c>
      <c r="X193" s="156">
        <f>SUMIF('USCG Summary'!$A$25:$A$50,A193,'USCG Summary'!$I$25:$I$50)/3.2808^2</f>
        <v>0</v>
      </c>
      <c r="Y193" s="156">
        <f>SUMIF('USCG Summary'!$A$25:$A$50,A193,'USCG Summary'!$L$25:$L$50)/3.2808^2</f>
        <v>0</v>
      </c>
      <c r="Z193" s="156">
        <f>SUMIF('USCG Summary'!$A$25:$A$50,A193,'USCG Summary'!$O$25:$O$50)/3.2808^2</f>
        <v>0</v>
      </c>
      <c r="AA193" s="156">
        <f>SUMIF('USCG Summary'!$A$25:$A$50,A193,'USCG Summary'!$P$25:$P$50)/3.2808^2</f>
        <v>0</v>
      </c>
      <c r="AB193" s="156">
        <f>SUMIF('USCG Summary'!$A$25:$A$50,A193,'USCG Summary'!$Q$25:$Q$50)/3.2808^2</f>
        <v>0</v>
      </c>
      <c r="AC193" s="156">
        <f>SUMIF('USCG Summary'!$A$25:$A$50,A193,'USCG Summary'!$T$25:$T$50)/3.2808^2</f>
        <v>0</v>
      </c>
      <c r="AD193" s="156">
        <f>SUMIF('USCG Summary'!$A$25:$A$50,A193,'USCG Summary'!$W$25:$W$50)/3.2808^2</f>
        <v>0</v>
      </c>
      <c r="AE193" s="156">
        <f>SUMIF('USCG Summary'!$A$25:$A$50,A193,'USCG Summary'!$Z$25:$Z$50)/3.2808^2</f>
        <v>0</v>
      </c>
      <c r="AF193" s="156">
        <f>SUMIF(Comp!$A$75:$A$400,Areas!A193,Comp!$F$75:$F$400)</f>
        <v>27</v>
      </c>
      <c r="AG193" s="156">
        <f>SUMIF(Comp!$A$75:$A$400,Areas!A193,Comp!$G$75:$G$400)</f>
        <v>27</v>
      </c>
      <c r="AH193" s="156"/>
      <c r="AI193" s="156"/>
      <c r="AK193" s="145"/>
    </row>
    <row r="194" spans="1:37" s="148" customFormat="1">
      <c r="A194" s="146" t="s">
        <v>1156</v>
      </c>
      <c r="C194" s="147">
        <f t="shared" ref="C194:F194" si="62">S194</f>
        <v>14.121605515358032</v>
      </c>
      <c r="D194" s="147">
        <f t="shared" si="62"/>
        <v>0</v>
      </c>
      <c r="E194" s="147">
        <f t="shared" si="62"/>
        <v>0</v>
      </c>
      <c r="F194" s="147">
        <f t="shared" si="62"/>
        <v>0</v>
      </c>
      <c r="G194" s="411"/>
      <c r="H194" s="411"/>
      <c r="I194" s="411"/>
      <c r="J194" s="411"/>
      <c r="K194" s="411"/>
      <c r="L194" s="411"/>
      <c r="M194" s="411"/>
      <c r="N194" s="411"/>
      <c r="O194" s="411"/>
      <c r="P194" s="147">
        <f t="shared" si="58"/>
        <v>0</v>
      </c>
      <c r="Q194" s="147">
        <f t="shared" si="58"/>
        <v>0</v>
      </c>
      <c r="S194" s="155">
        <f>SUMIF('Flt III'!D:D,A194,'Flt III'!E:E)/3.2808^2</f>
        <v>14.121605515358032</v>
      </c>
      <c r="T194" s="155">
        <f>SUMIF('Flt IIa'!A:A,A194,'Flt IIa'!E:E)/3.2808^2</f>
        <v>0</v>
      </c>
      <c r="U194" s="155">
        <f>SUMIF('OPC Des'!A:A,A194,'OPC Des'!F:F)/3.2808^2</f>
        <v>0</v>
      </c>
      <c r="V194" s="155">
        <f>SUMIF('LCS 5'!A:A,A194,'LCS 5'!E:E)</f>
        <v>0</v>
      </c>
      <c r="W194" s="155">
        <f>SUMIF('USCG Summary'!$A$25:$A$50,A194,'USCG Summary'!$D$25:$D$50)/3.2808^2</f>
        <v>0</v>
      </c>
      <c r="X194" s="155">
        <f>SUMIF('USCG Summary'!$A$25:$A$50,A194,'USCG Summary'!$I$25:$I$50)/3.2808^2</f>
        <v>0</v>
      </c>
      <c r="Y194" s="155">
        <f>SUMIF('USCG Summary'!$A$25:$A$50,A194,'USCG Summary'!$L$25:$L$50)/3.2808^2</f>
        <v>0</v>
      </c>
      <c r="Z194" s="155">
        <f>SUMIF('USCG Summary'!$A$25:$A$50,A194,'USCG Summary'!$O$25:$O$50)/3.2808^2</f>
        <v>0</v>
      </c>
      <c r="AA194" s="155">
        <f>SUMIF('USCG Summary'!$A$25:$A$50,A194,'USCG Summary'!$P$25:$P$50)/3.2808^2</f>
        <v>0</v>
      </c>
      <c r="AB194" s="155">
        <f>SUMIF('USCG Summary'!$A$25:$A$50,A194,'USCG Summary'!$Q$25:$Q$50)/3.2808^2</f>
        <v>0</v>
      </c>
      <c r="AC194" s="155">
        <f>SUMIF('USCG Summary'!$A$25:$A$50,A194,'USCG Summary'!$T$25:$T$50)/3.2808^2</f>
        <v>0</v>
      </c>
      <c r="AD194" s="155">
        <f>SUMIF('USCG Summary'!$A$25:$A$50,A194,'USCG Summary'!$W$25:$W$50)/3.2808^2</f>
        <v>0</v>
      </c>
      <c r="AE194" s="155">
        <f>SUMIF('USCG Summary'!$A$25:$A$50,A194,'USCG Summary'!$Z$25:$Z$50)/3.2808^2</f>
        <v>0</v>
      </c>
      <c r="AF194" s="155">
        <f>SUMIF(Comp!$A$75:$A$400,Areas!A194,Comp!$F$75:$F$400)</f>
        <v>0</v>
      </c>
      <c r="AG194" s="155">
        <f>SUMIF(Comp!$A$75:$A$400,Areas!A194,Comp!$G$75:$G$400)</f>
        <v>0</v>
      </c>
      <c r="AH194" s="155"/>
      <c r="AI194" s="155"/>
      <c r="AK194" s="147"/>
    </row>
    <row r="195" spans="1:37" s="134" customFormat="1">
      <c r="A195" s="140">
        <v>2.13</v>
      </c>
      <c r="B195" s="134" t="str">
        <f>Comp!B185</f>
        <v>CREW LIVING</v>
      </c>
      <c r="C195" s="149">
        <f>C196+C199+C202</f>
        <v>545.5399183301472</v>
      </c>
      <c r="D195" s="149">
        <f>D196+D199+D202</f>
        <v>609.08714314925828</v>
      </c>
      <c r="E195" s="149">
        <f>E196+E199+E202</f>
        <v>0</v>
      </c>
      <c r="F195" s="149">
        <f>F196+F199+F202</f>
        <v>0</v>
      </c>
      <c r="G195" s="409"/>
      <c r="H195" s="409"/>
      <c r="I195" s="409"/>
      <c r="J195" s="409"/>
      <c r="K195" s="409"/>
      <c r="L195" s="409"/>
      <c r="M195" s="409"/>
      <c r="N195" s="409"/>
      <c r="O195" s="409"/>
      <c r="P195" s="149">
        <f t="shared" si="58"/>
        <v>713.2</v>
      </c>
      <c r="Q195" s="149">
        <f t="shared" si="58"/>
        <v>713.2</v>
      </c>
      <c r="S195" s="153">
        <f>SUMIF('Flt III'!D:D,A195,'Flt III'!E:E)/3.2808^2</f>
        <v>0</v>
      </c>
      <c r="T195" s="153">
        <f>SUMIF('Flt IIa'!A:A,A195,'Flt IIa'!E:E)/3.2808^2</f>
        <v>0</v>
      </c>
      <c r="U195" s="153">
        <f>SUMIF('OPC Des'!A:A,A195,'OPC Des'!F:F)/3.2808^2</f>
        <v>0</v>
      </c>
      <c r="V195" s="153">
        <f>SUMIF('LCS 5'!A:A,A195,'LCS 5'!E:E)</f>
        <v>0</v>
      </c>
      <c r="W195" s="153">
        <f>SUMIF('USCG Summary'!$A$25:$A$50,A195,'USCG Summary'!$D$25:$D$50)/3.2808^2</f>
        <v>0</v>
      </c>
      <c r="X195" s="153">
        <f>SUMIF('USCG Summary'!$A$25:$A$50,A195,'USCG Summary'!$I$25:$I$50)/3.2808^2</f>
        <v>0</v>
      </c>
      <c r="Y195" s="153">
        <f>SUMIF('USCG Summary'!$A$25:$A$50,A195,'USCG Summary'!$L$25:$L$50)/3.2808^2</f>
        <v>0</v>
      </c>
      <c r="Z195" s="153">
        <f>SUMIF('USCG Summary'!$A$25:$A$50,A195,'USCG Summary'!$O$25:$O$50)/3.2808^2</f>
        <v>0</v>
      </c>
      <c r="AA195" s="153">
        <f>SUMIF('USCG Summary'!$A$25:$A$50,A195,'USCG Summary'!$P$25:$P$50)/3.2808^2</f>
        <v>0</v>
      </c>
      <c r="AB195" s="153">
        <f>SUMIF('USCG Summary'!$A$25:$A$50,A195,'USCG Summary'!$Q$25:$Q$50)/3.2808^2</f>
        <v>0</v>
      </c>
      <c r="AC195" s="153">
        <f>SUMIF('USCG Summary'!$A$25:$A$50,A195,'USCG Summary'!$T$25:$T$50)/3.2808^2</f>
        <v>0</v>
      </c>
      <c r="AD195" s="153">
        <f>SUMIF('USCG Summary'!$A$25:$A$50,A195,'USCG Summary'!$W$25:$W$50)/3.2808^2</f>
        <v>0</v>
      </c>
      <c r="AE195" s="153">
        <f>SUMIF('USCG Summary'!$A$25:$A$50,A195,'USCG Summary'!$Z$25:$Z$50)/3.2808^2</f>
        <v>0</v>
      </c>
      <c r="AF195" s="153">
        <f>SUMIF(Comp!$A$75:$A$400,Areas!A195,Comp!$F$75:$F$400)</f>
        <v>713.2</v>
      </c>
      <c r="AG195" s="153">
        <f>SUMIF(Comp!$A$75:$A$400,Areas!A195,Comp!$G$75:$G$400)</f>
        <v>713.2</v>
      </c>
      <c r="AH195" s="153"/>
      <c r="AI195" s="153"/>
      <c r="AK195" s="133"/>
    </row>
    <row r="196" spans="1:37" s="132" customFormat="1">
      <c r="A196" s="142">
        <v>2.1309999999999998</v>
      </c>
      <c r="B196" s="132" t="str">
        <f>Comp!B186</f>
        <v>BERTHING</v>
      </c>
      <c r="C196" s="143">
        <f>SUM(C197)</f>
        <v>418.25965809303858</v>
      </c>
      <c r="D196" s="143">
        <f>T196</f>
        <v>478.27648153331018</v>
      </c>
      <c r="E196" s="143">
        <f>U196</f>
        <v>0</v>
      </c>
      <c r="F196" s="143">
        <f>V196</f>
        <v>0</v>
      </c>
      <c r="G196" s="410"/>
      <c r="H196" s="410"/>
      <c r="I196" s="410"/>
      <c r="J196" s="410"/>
      <c r="K196" s="410"/>
      <c r="L196" s="410"/>
      <c r="M196" s="410"/>
      <c r="N196" s="410"/>
      <c r="O196" s="410"/>
      <c r="P196" s="143">
        <f t="shared" si="58"/>
        <v>567</v>
      </c>
      <c r="Q196" s="143">
        <f t="shared" si="58"/>
        <v>567</v>
      </c>
      <c r="S196" s="154">
        <f>SUMIF('Flt III'!D:D,A196,'Flt III'!E:E)/3.2808^2</f>
        <v>0</v>
      </c>
      <c r="T196" s="154">
        <f>SUMIF('Flt IIa'!A:A,A196,'Flt IIa'!E:E)/3.2808^2</f>
        <v>478.27648153331018</v>
      </c>
      <c r="U196" s="154">
        <f>SUMIF('OPC Des'!A:A,A196,'OPC Des'!F:F)/3.2808^2</f>
        <v>0</v>
      </c>
      <c r="V196" s="154">
        <f>SUMIF('LCS 5'!A:A,A196,'LCS 5'!E:E)</f>
        <v>0</v>
      </c>
      <c r="W196" s="154">
        <f>SUMIF('USCG Summary'!$A$25:$A$50,A196,'USCG Summary'!$D$25:$D$50)/3.2808^2</f>
        <v>0</v>
      </c>
      <c r="X196" s="154">
        <f>SUMIF('USCG Summary'!$A$25:$A$50,A196,'USCG Summary'!$I$25:$I$50)/3.2808^2</f>
        <v>0</v>
      </c>
      <c r="Y196" s="154">
        <f>SUMIF('USCG Summary'!$A$25:$A$50,A196,'USCG Summary'!$L$25:$L$50)/3.2808^2</f>
        <v>0</v>
      </c>
      <c r="Z196" s="154">
        <f>SUMIF('USCG Summary'!$A$25:$A$50,A196,'USCG Summary'!$O$25:$O$50)/3.2808^2</f>
        <v>0</v>
      </c>
      <c r="AA196" s="154">
        <f>SUMIF('USCG Summary'!$A$25:$A$50,A196,'USCG Summary'!$P$25:$P$50)/3.2808^2</f>
        <v>0</v>
      </c>
      <c r="AB196" s="154">
        <f>SUMIF('USCG Summary'!$A$25:$A$50,A196,'USCG Summary'!$Q$25:$Q$50)/3.2808^2</f>
        <v>0</v>
      </c>
      <c r="AC196" s="154">
        <f>SUMIF('USCG Summary'!$A$25:$A$50,A196,'USCG Summary'!$T$25:$T$50)/3.2808^2</f>
        <v>0</v>
      </c>
      <c r="AD196" s="154">
        <f>SUMIF('USCG Summary'!$A$25:$A$50,A196,'USCG Summary'!$W$25:$W$50)/3.2808^2</f>
        <v>0</v>
      </c>
      <c r="AE196" s="154">
        <f>SUMIF('USCG Summary'!$A$25:$A$50,A196,'USCG Summary'!$Z$25:$Z$50)/3.2808^2</f>
        <v>0</v>
      </c>
      <c r="AF196" s="154">
        <f>SUMIF(Comp!$A$75:$A$400,Areas!A196,Comp!$F$75:$F$400)</f>
        <v>567</v>
      </c>
      <c r="AG196" s="154">
        <f>SUMIF(Comp!$A$75:$A$400,Areas!A196,Comp!$G$75:$G$400)</f>
        <v>567</v>
      </c>
      <c r="AH196" s="154"/>
      <c r="AI196" s="154"/>
      <c r="AK196" s="143"/>
    </row>
    <row r="197" spans="1:37" s="141" customFormat="1">
      <c r="A197" s="144">
        <v>2.1311</v>
      </c>
      <c r="B197" s="141" t="str">
        <f>Comp!B187</f>
        <v>SHIP CREW</v>
      </c>
      <c r="C197" s="145">
        <f>SUM(C198)+S197</f>
        <v>418.25965809303858</v>
      </c>
      <c r="D197" s="145">
        <f>SUM(D198)+T197</f>
        <v>0</v>
      </c>
      <c r="E197" s="145">
        <f>SUM(E198)+U197</f>
        <v>0</v>
      </c>
      <c r="F197" s="145">
        <f>SUM(F198)+V197</f>
        <v>0</v>
      </c>
      <c r="G197" s="412"/>
      <c r="H197" s="412"/>
      <c r="I197" s="412"/>
      <c r="J197" s="412"/>
      <c r="K197" s="412"/>
      <c r="L197" s="412"/>
      <c r="M197" s="412"/>
      <c r="N197" s="412"/>
      <c r="O197" s="412"/>
      <c r="P197" s="145">
        <f t="shared" si="58"/>
        <v>1134</v>
      </c>
      <c r="Q197" s="145">
        <f t="shared" si="58"/>
        <v>1134</v>
      </c>
      <c r="S197" s="156">
        <f>SUMIF('Flt III'!D:D,A197,'Flt III'!E:E)/3.2808^2</f>
        <v>0</v>
      </c>
      <c r="T197" s="156">
        <f>SUMIF('Flt IIa'!A:A,A197,'Flt IIa'!E:E)/3.2808^2</f>
        <v>0</v>
      </c>
      <c r="U197" s="156">
        <f>SUMIF('OPC Des'!A:A,A197,'OPC Des'!F:F)/3.2808^2</f>
        <v>0</v>
      </c>
      <c r="V197" s="156">
        <f>SUMIF('LCS 5'!A:A,A197,'LCS 5'!E:E)</f>
        <v>0</v>
      </c>
      <c r="W197" s="156">
        <f>SUMIF('USCG Summary'!$A$25:$A$50,A197,'USCG Summary'!$D$25:$D$50)/3.2808^2</f>
        <v>0</v>
      </c>
      <c r="X197" s="156">
        <f>SUMIF('USCG Summary'!$A$25:$A$50,A197,'USCG Summary'!$I$25:$I$50)/3.2808^2</f>
        <v>0</v>
      </c>
      <c r="Y197" s="156">
        <f>SUMIF('USCG Summary'!$A$25:$A$50,A197,'USCG Summary'!$L$25:$L$50)/3.2808^2</f>
        <v>0</v>
      </c>
      <c r="Z197" s="156">
        <f>SUMIF('USCG Summary'!$A$25:$A$50,A197,'USCG Summary'!$O$25:$O$50)/3.2808^2</f>
        <v>0</v>
      </c>
      <c r="AA197" s="156">
        <f>SUMIF('USCG Summary'!$A$25:$A$50,A197,'USCG Summary'!$P$25:$P$50)/3.2808^2</f>
        <v>0</v>
      </c>
      <c r="AB197" s="156">
        <f>SUMIF('USCG Summary'!$A$25:$A$50,A197,'USCG Summary'!$Q$25:$Q$50)/3.2808^2</f>
        <v>0</v>
      </c>
      <c r="AC197" s="156">
        <f>SUMIF('USCG Summary'!$A$25:$A$50,A197,'USCG Summary'!$T$25:$T$50)/3.2808^2</f>
        <v>0</v>
      </c>
      <c r="AD197" s="156">
        <f>SUMIF('USCG Summary'!$A$25:$A$50,A197,'USCG Summary'!$W$25:$W$50)/3.2808^2</f>
        <v>0</v>
      </c>
      <c r="AE197" s="156">
        <f>SUMIF('USCG Summary'!$A$25:$A$50,A197,'USCG Summary'!$Z$25:$Z$50)/3.2808^2</f>
        <v>0</v>
      </c>
      <c r="AF197" s="156">
        <f>SUMIF(Comp!$A$75:$A$400,Areas!A197,Comp!$F$75:$F$400)</f>
        <v>1134</v>
      </c>
      <c r="AG197" s="156">
        <f>SUMIF(Comp!$A$75:$A$400,Areas!A197,Comp!$G$75:$G$400)</f>
        <v>1134</v>
      </c>
      <c r="AH197" s="156"/>
      <c r="AI197" s="156"/>
      <c r="AK197" s="145"/>
    </row>
    <row r="198" spans="1:37" s="148" customFormat="1">
      <c r="A198" s="146" t="s">
        <v>1135</v>
      </c>
      <c r="B198" s="135"/>
      <c r="C198" s="147">
        <f t="shared" ref="C198:F198" si="63">S198</f>
        <v>418.25965809303858</v>
      </c>
      <c r="D198" s="147">
        <f t="shared" si="63"/>
        <v>0</v>
      </c>
      <c r="E198" s="147">
        <f t="shared" si="63"/>
        <v>0</v>
      </c>
      <c r="F198" s="147">
        <f t="shared" si="63"/>
        <v>0</v>
      </c>
      <c r="G198" s="411"/>
      <c r="H198" s="411"/>
      <c r="I198" s="411"/>
      <c r="J198" s="411"/>
      <c r="K198" s="411"/>
      <c r="L198" s="411"/>
      <c r="M198" s="411"/>
      <c r="N198" s="411"/>
      <c r="O198" s="411"/>
      <c r="P198" s="147">
        <f t="shared" si="58"/>
        <v>0</v>
      </c>
      <c r="Q198" s="147">
        <f t="shared" si="58"/>
        <v>0</v>
      </c>
      <c r="S198" s="155">
        <f>SUMIF('Flt III'!D:D,A198,'Flt III'!E:E)/3.2808^2</f>
        <v>418.25965809303858</v>
      </c>
      <c r="T198" s="155">
        <f>SUMIF('Flt IIa'!A:A,A198,'Flt IIa'!E:E)/3.2808^2</f>
        <v>0</v>
      </c>
      <c r="U198" s="155">
        <f>SUMIF('OPC Des'!A:A,A198,'OPC Des'!F:F)/3.2808^2</f>
        <v>0</v>
      </c>
      <c r="V198" s="155">
        <f>SUMIF('LCS 5'!A:A,A198,'LCS 5'!E:E)</f>
        <v>0</v>
      </c>
      <c r="W198" s="155">
        <f>SUMIF('USCG Summary'!$A$25:$A$50,A198,'USCG Summary'!$D$25:$D$50)/3.2808^2</f>
        <v>0</v>
      </c>
      <c r="X198" s="155">
        <f>SUMIF('USCG Summary'!$A$25:$A$50,A198,'USCG Summary'!$I$25:$I$50)/3.2808^2</f>
        <v>0</v>
      </c>
      <c r="Y198" s="155">
        <f>SUMIF('USCG Summary'!$A$25:$A$50,A198,'USCG Summary'!$L$25:$L$50)/3.2808^2</f>
        <v>0</v>
      </c>
      <c r="Z198" s="155">
        <f>SUMIF('USCG Summary'!$A$25:$A$50,A198,'USCG Summary'!$O$25:$O$50)/3.2808^2</f>
        <v>0</v>
      </c>
      <c r="AA198" s="155">
        <f>SUMIF('USCG Summary'!$A$25:$A$50,A198,'USCG Summary'!$P$25:$P$50)/3.2808^2</f>
        <v>0</v>
      </c>
      <c r="AB198" s="155">
        <f>SUMIF('USCG Summary'!$A$25:$A$50,A198,'USCG Summary'!$Q$25:$Q$50)/3.2808^2</f>
        <v>0</v>
      </c>
      <c r="AC198" s="155">
        <f>SUMIF('USCG Summary'!$A$25:$A$50,A198,'USCG Summary'!$T$25:$T$50)/3.2808^2</f>
        <v>0</v>
      </c>
      <c r="AD198" s="155">
        <f>SUMIF('USCG Summary'!$A$25:$A$50,A198,'USCG Summary'!$W$25:$W$50)/3.2808^2</f>
        <v>0</v>
      </c>
      <c r="AE198" s="155">
        <f>SUMIF('USCG Summary'!$A$25:$A$50,A198,'USCG Summary'!$Z$25:$Z$50)/3.2808^2</f>
        <v>0</v>
      </c>
      <c r="AF198" s="155">
        <f>SUMIF(Comp!$A$75:$A$400,Areas!A198,Comp!$F$75:$F$400)</f>
        <v>0</v>
      </c>
      <c r="AG198" s="155">
        <f>SUMIF(Comp!$A$75:$A$400,Areas!A198,Comp!$G$75:$G$400)</f>
        <v>0</v>
      </c>
      <c r="AH198" s="155"/>
      <c r="AI198" s="155"/>
      <c r="AK198" s="147"/>
    </row>
    <row r="199" spans="1:37" s="132" customFormat="1">
      <c r="A199" s="142">
        <v>2.1320000000000001</v>
      </c>
      <c r="B199" s="132" t="str">
        <f>Comp!B189</f>
        <v>SANITARY</v>
      </c>
      <c r="C199" s="143">
        <f>SUM(C200)</f>
        <v>103.9610300768792</v>
      </c>
      <c r="D199" s="143">
        <f>T199</f>
        <v>92.069151748156642</v>
      </c>
      <c r="E199" s="143">
        <f>U199</f>
        <v>0</v>
      </c>
      <c r="F199" s="143">
        <f>V199</f>
        <v>0</v>
      </c>
      <c r="G199" s="410"/>
      <c r="H199" s="410"/>
      <c r="I199" s="410"/>
      <c r="J199" s="410"/>
      <c r="K199" s="410"/>
      <c r="L199" s="410"/>
      <c r="M199" s="410"/>
      <c r="N199" s="410"/>
      <c r="O199" s="410"/>
      <c r="P199" s="143">
        <f t="shared" si="58"/>
        <v>117.2</v>
      </c>
      <c r="Q199" s="143">
        <f t="shared" si="58"/>
        <v>117.2</v>
      </c>
      <c r="S199" s="154">
        <f>SUMIF('Flt III'!D:D,A199,'Flt III'!E:E)/3.2808^2</f>
        <v>0</v>
      </c>
      <c r="T199" s="154">
        <f>SUMIF('Flt IIa'!A:A,A199,'Flt IIa'!E:E)/3.2808^2</f>
        <v>92.069151748156642</v>
      </c>
      <c r="U199" s="154">
        <f>SUMIF('OPC Des'!A:A,A199,'OPC Des'!F:F)/3.2808^2</f>
        <v>0</v>
      </c>
      <c r="V199" s="154">
        <f>SUMIF('LCS 5'!A:A,A199,'LCS 5'!E:E)</f>
        <v>0</v>
      </c>
      <c r="W199" s="154">
        <f>SUMIF('USCG Summary'!$A$25:$A$50,A199,'USCG Summary'!$D$25:$D$50)/3.2808^2</f>
        <v>0</v>
      </c>
      <c r="X199" s="154">
        <f>SUMIF('USCG Summary'!$A$25:$A$50,A199,'USCG Summary'!$I$25:$I$50)/3.2808^2</f>
        <v>0</v>
      </c>
      <c r="Y199" s="154">
        <f>SUMIF('USCG Summary'!$A$25:$A$50,A199,'USCG Summary'!$L$25:$L$50)/3.2808^2</f>
        <v>0</v>
      </c>
      <c r="Z199" s="154">
        <f>SUMIF('USCG Summary'!$A$25:$A$50,A199,'USCG Summary'!$O$25:$O$50)/3.2808^2</f>
        <v>0</v>
      </c>
      <c r="AA199" s="154">
        <f>SUMIF('USCG Summary'!$A$25:$A$50,A199,'USCG Summary'!$P$25:$P$50)/3.2808^2</f>
        <v>0</v>
      </c>
      <c r="AB199" s="154">
        <f>SUMIF('USCG Summary'!$A$25:$A$50,A199,'USCG Summary'!$Q$25:$Q$50)/3.2808^2</f>
        <v>0</v>
      </c>
      <c r="AC199" s="154">
        <f>SUMIF('USCG Summary'!$A$25:$A$50,A199,'USCG Summary'!$T$25:$T$50)/3.2808^2</f>
        <v>0</v>
      </c>
      <c r="AD199" s="154">
        <f>SUMIF('USCG Summary'!$A$25:$A$50,A199,'USCG Summary'!$W$25:$W$50)/3.2808^2</f>
        <v>0</v>
      </c>
      <c r="AE199" s="154">
        <f>SUMIF('USCG Summary'!$A$25:$A$50,A199,'USCG Summary'!$Z$25:$Z$50)/3.2808^2</f>
        <v>0</v>
      </c>
      <c r="AF199" s="154">
        <f>SUMIF(Comp!$A$75:$A$400,Areas!A199,Comp!$F$75:$F$400)</f>
        <v>117.2</v>
      </c>
      <c r="AG199" s="154">
        <f>SUMIF(Comp!$A$75:$A$400,Areas!A199,Comp!$G$75:$G$400)</f>
        <v>117.2</v>
      </c>
      <c r="AH199" s="154"/>
      <c r="AI199" s="154"/>
      <c r="AK199" s="143"/>
    </row>
    <row r="200" spans="1:37" s="141" customFormat="1">
      <c r="A200" s="144">
        <v>2.1320999999999999</v>
      </c>
      <c r="B200" s="141" t="str">
        <f>Comp!B190</f>
        <v>SHIP CREW</v>
      </c>
      <c r="C200" s="145">
        <f>SUM(C201)+S200</f>
        <v>103.9610300768792</v>
      </c>
      <c r="D200" s="145">
        <f>SUM(D201)+T200</f>
        <v>0</v>
      </c>
      <c r="E200" s="145">
        <f>SUM(E201)+U200</f>
        <v>71.351269972335317</v>
      </c>
      <c r="F200" s="145">
        <f>SUM(F201)+V200</f>
        <v>0</v>
      </c>
      <c r="G200" s="412"/>
      <c r="H200" s="412"/>
      <c r="I200" s="412"/>
      <c r="J200" s="412"/>
      <c r="K200" s="412"/>
      <c r="L200" s="412"/>
      <c r="M200" s="412"/>
      <c r="N200" s="412"/>
      <c r="O200" s="412"/>
      <c r="P200" s="145">
        <f t="shared" si="58"/>
        <v>234.4</v>
      </c>
      <c r="Q200" s="145">
        <f t="shared" si="58"/>
        <v>234.4</v>
      </c>
      <c r="S200" s="156">
        <f>SUMIF('Flt III'!D:D,A200,'Flt III'!E:E)/3.2808^2</f>
        <v>0</v>
      </c>
      <c r="T200" s="156">
        <f>SUMIF('Flt IIa'!A:A,A200,'Flt IIa'!E:E)/3.2808^2</f>
        <v>0</v>
      </c>
      <c r="U200" s="156">
        <f>SUMIF('OPC Des'!A:A,A200,'OPC Des'!F:F)/3.2808^2</f>
        <v>0</v>
      </c>
      <c r="V200" s="156">
        <f>SUMIF('LCS 5'!A:A,A200,'LCS 5'!E:E)</f>
        <v>0</v>
      </c>
      <c r="W200" s="156">
        <f>SUMIF('USCG Summary'!$A$25:$A$50,A200,'USCG Summary'!$D$25:$D$50)/3.2808^2</f>
        <v>0</v>
      </c>
      <c r="X200" s="156">
        <f>SUMIF('USCG Summary'!$A$25:$A$50,A200,'USCG Summary'!$I$25:$I$50)/3.2808^2</f>
        <v>0</v>
      </c>
      <c r="Y200" s="156">
        <f>SUMIF('USCG Summary'!$A$25:$A$50,A200,'USCG Summary'!$L$25:$L$50)/3.2808^2</f>
        <v>0</v>
      </c>
      <c r="Z200" s="156">
        <f>SUMIF('USCG Summary'!$A$25:$A$50,A200,'USCG Summary'!$O$25:$O$50)/3.2808^2</f>
        <v>0</v>
      </c>
      <c r="AA200" s="156">
        <f>SUMIF('USCG Summary'!$A$25:$A$50,A200,'USCG Summary'!$P$25:$P$50)/3.2808^2</f>
        <v>0</v>
      </c>
      <c r="AB200" s="156">
        <f>SUMIF('USCG Summary'!$A$25:$A$50,A200,'USCG Summary'!$Q$25:$Q$50)/3.2808^2</f>
        <v>0</v>
      </c>
      <c r="AC200" s="156">
        <f>SUMIF('USCG Summary'!$A$25:$A$50,A200,'USCG Summary'!$T$25:$T$50)/3.2808^2</f>
        <v>0</v>
      </c>
      <c r="AD200" s="156">
        <f>SUMIF('USCG Summary'!$A$25:$A$50,A200,'USCG Summary'!$W$25:$W$50)/3.2808^2</f>
        <v>0</v>
      </c>
      <c r="AE200" s="156">
        <f>SUMIF('USCG Summary'!$A$25:$A$50,A200,'USCG Summary'!$Z$25:$Z$50)/3.2808^2</f>
        <v>0</v>
      </c>
      <c r="AF200" s="156">
        <f>SUMIF(Comp!$A$75:$A$400,Areas!A200,Comp!$F$75:$F$400)</f>
        <v>234.4</v>
      </c>
      <c r="AG200" s="156">
        <f>SUMIF(Comp!$A$75:$A$400,Areas!A200,Comp!$G$75:$G$400)</f>
        <v>234.4</v>
      </c>
      <c r="AH200" s="156"/>
      <c r="AI200" s="156"/>
      <c r="AK200" s="145"/>
    </row>
    <row r="201" spans="1:37" s="148" customFormat="1">
      <c r="A201" s="146">
        <v>2.132101</v>
      </c>
      <c r="B201" s="135"/>
      <c r="C201" s="147">
        <f t="shared" ref="C201:F201" si="64">S201</f>
        <v>103.9610300768792</v>
      </c>
      <c r="D201" s="147">
        <f t="shared" si="64"/>
        <v>0</v>
      </c>
      <c r="E201" s="147">
        <f t="shared" si="64"/>
        <v>71.351269972335317</v>
      </c>
      <c r="F201" s="147">
        <f t="shared" si="64"/>
        <v>0</v>
      </c>
      <c r="G201" s="411"/>
      <c r="H201" s="411"/>
      <c r="I201" s="411"/>
      <c r="J201" s="411"/>
      <c r="K201" s="411"/>
      <c r="L201" s="411"/>
      <c r="M201" s="411"/>
      <c r="N201" s="411"/>
      <c r="O201" s="411"/>
      <c r="P201" s="147">
        <f t="shared" si="58"/>
        <v>0</v>
      </c>
      <c r="Q201" s="147">
        <f t="shared" si="58"/>
        <v>0</v>
      </c>
      <c r="S201" s="155">
        <f>SUMIF('Flt III'!D:D,A201,'Flt III'!E:E)/3.2808^2</f>
        <v>103.9610300768792</v>
      </c>
      <c r="T201" s="155">
        <f>SUMIF('Flt IIa'!A:A,A201,'Flt IIa'!E:E)/3.2808^2</f>
        <v>0</v>
      </c>
      <c r="U201" s="155">
        <f>SUMIF('OPC Des'!A:A,A201,'OPC Des'!F:F)/3.2808^2</f>
        <v>71.351269972335317</v>
      </c>
      <c r="V201" s="155">
        <f>SUMIF('LCS 5'!A:A,A201,'LCS 5'!E:E)</f>
        <v>0</v>
      </c>
      <c r="W201" s="155">
        <f>SUMIF('USCG Summary'!$A$25:$A$50,A201,'USCG Summary'!$D$25:$D$50)/3.2808^2</f>
        <v>0</v>
      </c>
      <c r="X201" s="155">
        <f>SUMIF('USCG Summary'!$A$25:$A$50,A201,'USCG Summary'!$I$25:$I$50)/3.2808^2</f>
        <v>0</v>
      </c>
      <c r="Y201" s="155">
        <f>SUMIF('USCG Summary'!$A$25:$A$50,A201,'USCG Summary'!$L$25:$L$50)/3.2808^2</f>
        <v>0</v>
      </c>
      <c r="Z201" s="155">
        <f>SUMIF('USCG Summary'!$A$25:$A$50,A201,'USCG Summary'!$O$25:$O$50)/3.2808^2</f>
        <v>0</v>
      </c>
      <c r="AA201" s="155">
        <f>SUMIF('USCG Summary'!$A$25:$A$50,A201,'USCG Summary'!$P$25:$P$50)/3.2808^2</f>
        <v>0</v>
      </c>
      <c r="AB201" s="155">
        <f>SUMIF('USCG Summary'!$A$25:$A$50,A201,'USCG Summary'!$Q$25:$Q$50)/3.2808^2</f>
        <v>0</v>
      </c>
      <c r="AC201" s="155">
        <f>SUMIF('USCG Summary'!$A$25:$A$50,A201,'USCG Summary'!$T$25:$T$50)/3.2808^2</f>
        <v>0</v>
      </c>
      <c r="AD201" s="155">
        <f>SUMIF('USCG Summary'!$A$25:$A$50,A201,'USCG Summary'!$W$25:$W$50)/3.2808^2</f>
        <v>0</v>
      </c>
      <c r="AE201" s="155">
        <f>SUMIF('USCG Summary'!$A$25:$A$50,A201,'USCG Summary'!$Z$25:$Z$50)/3.2808^2</f>
        <v>0</v>
      </c>
      <c r="AF201" s="155">
        <f>SUMIF(Comp!$A$75:$A$400,Areas!A201,Comp!$F$75:$F$400)</f>
        <v>0</v>
      </c>
      <c r="AG201" s="155">
        <f>SUMIF(Comp!$A$75:$A$400,Areas!A201,Comp!$G$75:$G$400)</f>
        <v>0</v>
      </c>
      <c r="AH201" s="155"/>
      <c r="AI201" s="155"/>
      <c r="AK201" s="147"/>
    </row>
    <row r="202" spans="1:37" s="132" customFormat="1">
      <c r="A202" s="142">
        <v>2.133</v>
      </c>
      <c r="B202" s="132" t="str">
        <f>Comp!B192</f>
        <v>RECREATION</v>
      </c>
      <c r="C202" s="143">
        <f>SUM(C203:C204)</f>
        <v>23.319230160229381</v>
      </c>
      <c r="D202" s="143">
        <f>T202</f>
        <v>38.741509867791443</v>
      </c>
      <c r="E202" s="143">
        <f>U202</f>
        <v>0</v>
      </c>
      <c r="F202" s="143">
        <f>V202</f>
        <v>0</v>
      </c>
      <c r="G202" s="410"/>
      <c r="H202" s="410"/>
      <c r="I202" s="410"/>
      <c r="J202" s="410"/>
      <c r="K202" s="410"/>
      <c r="L202" s="410"/>
      <c r="M202" s="410"/>
      <c r="N202" s="410"/>
      <c r="O202" s="410"/>
      <c r="P202" s="143">
        <f t="shared" si="58"/>
        <v>29.1</v>
      </c>
      <c r="Q202" s="143">
        <f t="shared" si="58"/>
        <v>29.1</v>
      </c>
      <c r="S202" s="154">
        <f>SUMIF('Flt III'!D:D,A202,'Flt III'!E:E)/3.2808^2</f>
        <v>0</v>
      </c>
      <c r="T202" s="154">
        <f>SUMIF('Flt IIa'!A:A,A202,'Flt IIa'!E:E)/3.2808^2</f>
        <v>38.741509867791443</v>
      </c>
      <c r="U202" s="154">
        <f>SUMIF('OPC Des'!A:A,A202,'OPC Des'!F:F)/3.2808^2</f>
        <v>0</v>
      </c>
      <c r="V202" s="154">
        <f>SUMIF('LCS 5'!A:A,A202,'LCS 5'!E:E)</f>
        <v>0</v>
      </c>
      <c r="W202" s="154">
        <f>SUMIF('USCG Summary'!$A$25:$A$50,A202,'USCG Summary'!$D$25:$D$50)/3.2808^2</f>
        <v>0</v>
      </c>
      <c r="X202" s="154">
        <f>SUMIF('USCG Summary'!$A$25:$A$50,A202,'USCG Summary'!$I$25:$I$50)/3.2808^2</f>
        <v>0</v>
      </c>
      <c r="Y202" s="154">
        <f>SUMIF('USCG Summary'!$A$25:$A$50,A202,'USCG Summary'!$L$25:$L$50)/3.2808^2</f>
        <v>0</v>
      </c>
      <c r="Z202" s="154">
        <f>SUMIF('USCG Summary'!$A$25:$A$50,A202,'USCG Summary'!$O$25:$O$50)/3.2808^2</f>
        <v>0</v>
      </c>
      <c r="AA202" s="154">
        <f>SUMIF('USCG Summary'!$A$25:$A$50,A202,'USCG Summary'!$P$25:$P$50)/3.2808^2</f>
        <v>0</v>
      </c>
      <c r="AB202" s="154">
        <f>SUMIF('USCG Summary'!$A$25:$A$50,A202,'USCG Summary'!$Q$25:$Q$50)/3.2808^2</f>
        <v>0</v>
      </c>
      <c r="AC202" s="154">
        <f>SUMIF('USCG Summary'!$A$25:$A$50,A202,'USCG Summary'!$T$25:$T$50)/3.2808^2</f>
        <v>0</v>
      </c>
      <c r="AD202" s="154">
        <f>SUMIF('USCG Summary'!$A$25:$A$50,A202,'USCG Summary'!$W$25:$W$50)/3.2808^2</f>
        <v>0</v>
      </c>
      <c r="AE202" s="154">
        <f>SUMIF('USCG Summary'!$A$25:$A$50,A202,'USCG Summary'!$Z$25:$Z$50)/3.2808^2</f>
        <v>0</v>
      </c>
      <c r="AF202" s="154">
        <f>SUMIF(Comp!$A$75:$A$400,Areas!A202,Comp!$F$75:$F$400)</f>
        <v>29.1</v>
      </c>
      <c r="AG202" s="154">
        <f>SUMIF(Comp!$A$75:$A$400,Areas!A202,Comp!$G$75:$G$400)</f>
        <v>29.1</v>
      </c>
      <c r="AH202" s="154"/>
      <c r="AI202" s="154"/>
      <c r="AK202" s="143"/>
    </row>
    <row r="203" spans="1:37" s="148" customFormat="1">
      <c r="A203" s="146">
        <v>2.1330100000000001</v>
      </c>
      <c r="C203" s="147">
        <f t="shared" ref="C203:F207" si="65">S203</f>
        <v>14.586132012573756</v>
      </c>
      <c r="D203" s="147">
        <f t="shared" si="65"/>
        <v>0</v>
      </c>
      <c r="E203" s="147">
        <f t="shared" si="65"/>
        <v>0</v>
      </c>
      <c r="F203" s="147">
        <f t="shared" si="65"/>
        <v>0</v>
      </c>
      <c r="G203" s="411"/>
      <c r="H203" s="411"/>
      <c r="I203" s="411"/>
      <c r="J203" s="411"/>
      <c r="K203" s="411"/>
      <c r="L203" s="411"/>
      <c r="M203" s="411"/>
      <c r="N203" s="411"/>
      <c r="O203" s="411"/>
      <c r="P203" s="147">
        <f t="shared" si="58"/>
        <v>0</v>
      </c>
      <c r="Q203" s="147">
        <f t="shared" si="58"/>
        <v>0</v>
      </c>
      <c r="S203" s="155">
        <f>SUMIF('Flt III'!D:D,A203,'Flt III'!E:E)/3.2808^2</f>
        <v>14.586132012573756</v>
      </c>
      <c r="T203" s="155">
        <f>SUMIF('Flt IIa'!A:A,A203,'Flt IIa'!E:E)/3.2808^2</f>
        <v>0</v>
      </c>
      <c r="U203" s="155">
        <f>SUMIF('OPC Des'!A:A,A203,'OPC Des'!F:F)/3.2808^2</f>
        <v>0</v>
      </c>
      <c r="V203" s="155">
        <f>SUMIF('LCS 5'!A:A,A203,'LCS 5'!E:E)</f>
        <v>0</v>
      </c>
      <c r="W203" s="155">
        <f>SUMIF('USCG Summary'!$A$25:$A$50,A203,'USCG Summary'!$D$25:$D$50)/3.2808^2</f>
        <v>0</v>
      </c>
      <c r="X203" s="155">
        <f>SUMIF('USCG Summary'!$A$25:$A$50,A203,'USCG Summary'!$I$25:$I$50)/3.2808^2</f>
        <v>0</v>
      </c>
      <c r="Y203" s="155">
        <f>SUMIF('USCG Summary'!$A$25:$A$50,A203,'USCG Summary'!$L$25:$L$50)/3.2808^2</f>
        <v>0</v>
      </c>
      <c r="Z203" s="155">
        <f>SUMIF('USCG Summary'!$A$25:$A$50,A203,'USCG Summary'!$O$25:$O$50)/3.2808^2</f>
        <v>0</v>
      </c>
      <c r="AA203" s="155">
        <f>SUMIF('USCG Summary'!$A$25:$A$50,A203,'USCG Summary'!$P$25:$P$50)/3.2808^2</f>
        <v>0</v>
      </c>
      <c r="AB203" s="155">
        <f>SUMIF('USCG Summary'!$A$25:$A$50,A203,'USCG Summary'!$Q$25:$Q$50)/3.2808^2</f>
        <v>0</v>
      </c>
      <c r="AC203" s="155">
        <f>SUMIF('USCG Summary'!$A$25:$A$50,A203,'USCG Summary'!$T$25:$T$50)/3.2808^2</f>
        <v>0</v>
      </c>
      <c r="AD203" s="155">
        <f>SUMIF('USCG Summary'!$A$25:$A$50,A203,'USCG Summary'!$W$25:$W$50)/3.2808^2</f>
        <v>0</v>
      </c>
      <c r="AE203" s="155">
        <f>SUMIF('USCG Summary'!$A$25:$A$50,A203,'USCG Summary'!$Z$25:$Z$50)/3.2808^2</f>
        <v>0</v>
      </c>
      <c r="AF203" s="155">
        <f>SUMIF(Comp!$A$75:$A$400,Areas!A203,Comp!$F$75:$F$400)</f>
        <v>0</v>
      </c>
      <c r="AG203" s="155">
        <f>SUMIF(Comp!$A$75:$A$400,Areas!A203,Comp!$G$75:$G$400)</f>
        <v>0</v>
      </c>
      <c r="AH203" s="155"/>
      <c r="AI203" s="155"/>
      <c r="AK203" s="147"/>
    </row>
    <row r="204" spans="1:37" s="148" customFormat="1">
      <c r="A204" s="146">
        <v>2.1330200000000001</v>
      </c>
      <c r="C204" s="147">
        <f t="shared" si="65"/>
        <v>8.7330981476556246</v>
      </c>
      <c r="D204" s="147">
        <f t="shared" si="65"/>
        <v>0</v>
      </c>
      <c r="E204" s="147">
        <f t="shared" si="65"/>
        <v>0</v>
      </c>
      <c r="F204" s="147">
        <f t="shared" si="65"/>
        <v>0</v>
      </c>
      <c r="G204" s="411"/>
      <c r="H204" s="411"/>
      <c r="I204" s="411"/>
      <c r="J204" s="411"/>
      <c r="K204" s="411"/>
      <c r="L204" s="411"/>
      <c r="M204" s="411"/>
      <c r="N204" s="411"/>
      <c r="O204" s="411"/>
      <c r="P204" s="147">
        <f t="shared" si="58"/>
        <v>0</v>
      </c>
      <c r="Q204" s="147">
        <f t="shared" si="58"/>
        <v>0</v>
      </c>
      <c r="S204" s="155">
        <f>SUMIF('Flt III'!D:D,A204,'Flt III'!E:E)/3.2808^2</f>
        <v>8.7330981476556246</v>
      </c>
      <c r="T204" s="155">
        <f>SUMIF('Flt IIa'!A:A,A204,'Flt IIa'!E:E)/3.2808^2</f>
        <v>0</v>
      </c>
      <c r="U204" s="155">
        <f>SUMIF('OPC Des'!A:A,A204,'OPC Des'!F:F)/3.2808^2</f>
        <v>0</v>
      </c>
      <c r="V204" s="155">
        <f>SUMIF('LCS 5'!A:A,A204,'LCS 5'!E:E)</f>
        <v>0</v>
      </c>
      <c r="W204" s="155">
        <f>SUMIF('USCG Summary'!$A$25:$A$50,A204,'USCG Summary'!$D$25:$D$50)/3.2808^2</f>
        <v>0</v>
      </c>
      <c r="X204" s="155">
        <f>SUMIF('USCG Summary'!$A$25:$A$50,A204,'USCG Summary'!$I$25:$I$50)/3.2808^2</f>
        <v>0</v>
      </c>
      <c r="Y204" s="155">
        <f>SUMIF('USCG Summary'!$A$25:$A$50,A204,'USCG Summary'!$L$25:$L$50)/3.2808^2</f>
        <v>0</v>
      </c>
      <c r="Z204" s="155">
        <f>SUMIF('USCG Summary'!$A$25:$A$50,A204,'USCG Summary'!$O$25:$O$50)/3.2808^2</f>
        <v>0</v>
      </c>
      <c r="AA204" s="155">
        <f>SUMIF('USCG Summary'!$A$25:$A$50,A204,'USCG Summary'!$P$25:$P$50)/3.2808^2</f>
        <v>0</v>
      </c>
      <c r="AB204" s="155">
        <f>SUMIF('USCG Summary'!$A$25:$A$50,A204,'USCG Summary'!$Q$25:$Q$50)/3.2808^2</f>
        <v>0</v>
      </c>
      <c r="AC204" s="155">
        <f>SUMIF('USCG Summary'!$A$25:$A$50,A204,'USCG Summary'!$T$25:$T$50)/3.2808^2</f>
        <v>0</v>
      </c>
      <c r="AD204" s="155">
        <f>SUMIF('USCG Summary'!$A$25:$A$50,A204,'USCG Summary'!$W$25:$W$50)/3.2808^2</f>
        <v>0</v>
      </c>
      <c r="AE204" s="155">
        <f>SUMIF('USCG Summary'!$A$25:$A$50,A204,'USCG Summary'!$Z$25:$Z$50)/3.2808^2</f>
        <v>0</v>
      </c>
      <c r="AF204" s="155">
        <f>SUMIF(Comp!$A$75:$A$400,Areas!A204,Comp!$F$75:$F$400)</f>
        <v>0</v>
      </c>
      <c r="AG204" s="155">
        <f>SUMIF(Comp!$A$75:$A$400,Areas!A204,Comp!$G$75:$G$400)</f>
        <v>0</v>
      </c>
      <c r="AH204" s="155"/>
      <c r="AI204" s="155"/>
      <c r="AK204" s="147"/>
    </row>
    <row r="205" spans="1:37" s="141" customFormat="1">
      <c r="A205" s="144">
        <v>2.1331000000000002</v>
      </c>
      <c r="B205" s="141" t="str">
        <f>Comp!B193</f>
        <v>RECREATION ROOM</v>
      </c>
      <c r="C205" s="145">
        <f t="shared" si="65"/>
        <v>0</v>
      </c>
      <c r="D205" s="145">
        <f t="shared" si="65"/>
        <v>0</v>
      </c>
      <c r="E205" s="145">
        <f t="shared" si="65"/>
        <v>0</v>
      </c>
      <c r="F205" s="145">
        <f t="shared" si="65"/>
        <v>0</v>
      </c>
      <c r="G205" s="412"/>
      <c r="H205" s="412"/>
      <c r="I205" s="412"/>
      <c r="J205" s="412"/>
      <c r="K205" s="412"/>
      <c r="L205" s="412"/>
      <c r="M205" s="412"/>
      <c r="N205" s="412"/>
      <c r="O205" s="412"/>
      <c r="P205" s="145">
        <f t="shared" si="58"/>
        <v>14.5</v>
      </c>
      <c r="Q205" s="145">
        <f t="shared" si="58"/>
        <v>14.5</v>
      </c>
      <c r="S205" s="156">
        <f>SUMIF('Flt III'!D:D,A205,'Flt III'!E:E)/3.2808^2</f>
        <v>0</v>
      </c>
      <c r="T205" s="156">
        <f>SUMIF('Flt IIa'!A:A,A205,'Flt IIa'!E:E)/3.2808^2</f>
        <v>0</v>
      </c>
      <c r="U205" s="156">
        <f>SUMIF('OPC Des'!A:A,A205,'OPC Des'!F:F)/3.2808^2</f>
        <v>0</v>
      </c>
      <c r="V205" s="156">
        <f>SUMIF('LCS 5'!A:A,A205,'LCS 5'!E:E)</f>
        <v>0</v>
      </c>
      <c r="W205" s="156">
        <f>SUMIF('USCG Summary'!$A$25:$A$50,A205,'USCG Summary'!$D$25:$D$50)/3.2808^2</f>
        <v>0</v>
      </c>
      <c r="X205" s="156">
        <f>SUMIF('USCG Summary'!$A$25:$A$50,A205,'USCG Summary'!$I$25:$I$50)/3.2808^2</f>
        <v>0</v>
      </c>
      <c r="Y205" s="156">
        <f>SUMIF('USCG Summary'!$A$25:$A$50,A205,'USCG Summary'!$L$25:$L$50)/3.2808^2</f>
        <v>0</v>
      </c>
      <c r="Z205" s="156">
        <f>SUMIF('USCG Summary'!$A$25:$A$50,A205,'USCG Summary'!$O$25:$O$50)/3.2808^2</f>
        <v>0</v>
      </c>
      <c r="AA205" s="156">
        <f>SUMIF('USCG Summary'!$A$25:$A$50,A205,'USCG Summary'!$P$25:$P$50)/3.2808^2</f>
        <v>0</v>
      </c>
      <c r="AB205" s="156">
        <f>SUMIF('USCG Summary'!$A$25:$A$50,A205,'USCG Summary'!$Q$25:$Q$50)/3.2808^2</f>
        <v>0</v>
      </c>
      <c r="AC205" s="156">
        <f>SUMIF('USCG Summary'!$A$25:$A$50,A205,'USCG Summary'!$T$25:$T$50)/3.2808^2</f>
        <v>0</v>
      </c>
      <c r="AD205" s="156">
        <f>SUMIF('USCG Summary'!$A$25:$A$50,A205,'USCG Summary'!$W$25:$W$50)/3.2808^2</f>
        <v>0</v>
      </c>
      <c r="AE205" s="156">
        <f>SUMIF('USCG Summary'!$A$25:$A$50,A205,'USCG Summary'!$Z$25:$Z$50)/3.2808^2</f>
        <v>0</v>
      </c>
      <c r="AF205" s="156">
        <f>SUMIF(Comp!$A$75:$A$400,Areas!A205,Comp!$F$75:$F$400)</f>
        <v>14.5</v>
      </c>
      <c r="AG205" s="156">
        <f>SUMIF(Comp!$A$75:$A$400,Areas!A205,Comp!$G$75:$G$400)</f>
        <v>14.5</v>
      </c>
      <c r="AH205" s="156"/>
      <c r="AI205" s="156"/>
      <c r="AK205" s="145"/>
    </row>
    <row r="206" spans="1:37" s="141" customFormat="1">
      <c r="A206" s="144">
        <v>2.1332</v>
      </c>
      <c r="B206" s="141" t="str">
        <f>Comp!B194</f>
        <v>LIBRARY</v>
      </c>
      <c r="C206" s="145">
        <f t="shared" si="65"/>
        <v>0</v>
      </c>
      <c r="D206" s="145">
        <f t="shared" si="65"/>
        <v>0</v>
      </c>
      <c r="E206" s="145">
        <f t="shared" si="65"/>
        <v>0</v>
      </c>
      <c r="F206" s="145">
        <f t="shared" si="65"/>
        <v>0</v>
      </c>
      <c r="G206" s="412"/>
      <c r="H206" s="412"/>
      <c r="I206" s="412"/>
      <c r="J206" s="412"/>
      <c r="K206" s="412"/>
      <c r="L206" s="412"/>
      <c r="M206" s="412"/>
      <c r="N206" s="412"/>
      <c r="O206" s="412"/>
      <c r="P206" s="145">
        <f t="shared" si="58"/>
        <v>14.5</v>
      </c>
      <c r="Q206" s="145">
        <f t="shared" si="58"/>
        <v>14.5</v>
      </c>
      <c r="S206" s="156">
        <f>SUMIF('Flt III'!D:D,A206,'Flt III'!E:E)/3.2808^2</f>
        <v>0</v>
      </c>
      <c r="T206" s="156">
        <f>SUMIF('Flt IIa'!A:A,A206,'Flt IIa'!E:E)/3.2808^2</f>
        <v>0</v>
      </c>
      <c r="U206" s="156">
        <f>SUMIF('OPC Des'!A:A,A206,'OPC Des'!F:F)/3.2808^2</f>
        <v>0</v>
      </c>
      <c r="V206" s="156">
        <f>SUMIF('LCS 5'!A:A,A206,'LCS 5'!E:E)</f>
        <v>0</v>
      </c>
      <c r="W206" s="156">
        <f>SUMIF('USCG Summary'!$A$25:$A$50,A206,'USCG Summary'!$D$25:$D$50)/3.2808^2</f>
        <v>0</v>
      </c>
      <c r="X206" s="156">
        <f>SUMIF('USCG Summary'!$A$25:$A$50,A206,'USCG Summary'!$I$25:$I$50)/3.2808^2</f>
        <v>0</v>
      </c>
      <c r="Y206" s="156">
        <f>SUMIF('USCG Summary'!$A$25:$A$50,A206,'USCG Summary'!$L$25:$L$50)/3.2808^2</f>
        <v>0</v>
      </c>
      <c r="Z206" s="156">
        <f>SUMIF('USCG Summary'!$A$25:$A$50,A206,'USCG Summary'!$O$25:$O$50)/3.2808^2</f>
        <v>0</v>
      </c>
      <c r="AA206" s="156">
        <f>SUMIF('USCG Summary'!$A$25:$A$50,A206,'USCG Summary'!$P$25:$P$50)/3.2808^2</f>
        <v>0</v>
      </c>
      <c r="AB206" s="156">
        <f>SUMIF('USCG Summary'!$A$25:$A$50,A206,'USCG Summary'!$Q$25:$Q$50)/3.2808^2</f>
        <v>0</v>
      </c>
      <c r="AC206" s="156">
        <f>SUMIF('USCG Summary'!$A$25:$A$50,A206,'USCG Summary'!$T$25:$T$50)/3.2808^2</f>
        <v>0</v>
      </c>
      <c r="AD206" s="156">
        <f>SUMIF('USCG Summary'!$A$25:$A$50,A206,'USCG Summary'!$W$25:$W$50)/3.2808^2</f>
        <v>0</v>
      </c>
      <c r="AE206" s="156">
        <f>SUMIF('USCG Summary'!$A$25:$A$50,A206,'USCG Summary'!$Z$25:$Z$50)/3.2808^2</f>
        <v>0</v>
      </c>
      <c r="AF206" s="156">
        <f>SUMIF(Comp!$A$75:$A$400,Areas!A206,Comp!$F$75:$F$400)</f>
        <v>14.5</v>
      </c>
      <c r="AG206" s="156">
        <f>SUMIF(Comp!$A$75:$A$400,Areas!A206,Comp!$G$75:$G$400)</f>
        <v>14.5</v>
      </c>
      <c r="AH206" s="156"/>
      <c r="AI206" s="156"/>
      <c r="AK206" s="145"/>
    </row>
    <row r="207" spans="1:37" s="141" customFormat="1">
      <c r="A207" s="144">
        <v>2.1335999999999999</v>
      </c>
      <c r="B207" s="141" t="str">
        <f>Comp!B195</f>
        <v>CREW LOUNGE</v>
      </c>
      <c r="C207" s="145">
        <f t="shared" si="65"/>
        <v>0</v>
      </c>
      <c r="D207" s="145">
        <f t="shared" si="65"/>
        <v>0</v>
      </c>
      <c r="E207" s="145">
        <f t="shared" si="65"/>
        <v>0</v>
      </c>
      <c r="F207" s="145">
        <f t="shared" si="65"/>
        <v>0</v>
      </c>
      <c r="G207" s="412"/>
      <c r="H207" s="412"/>
      <c r="I207" s="412"/>
      <c r="J207" s="412"/>
      <c r="K207" s="412"/>
      <c r="L207" s="412"/>
      <c r="M207" s="412"/>
      <c r="N207" s="412"/>
      <c r="O207" s="412"/>
      <c r="P207" s="145">
        <f t="shared" si="58"/>
        <v>0</v>
      </c>
      <c r="Q207" s="145">
        <f t="shared" si="58"/>
        <v>0</v>
      </c>
      <c r="S207" s="156">
        <f>SUMIF('Flt III'!D:D,A207,'Flt III'!E:E)/3.2808^2</f>
        <v>0</v>
      </c>
      <c r="T207" s="156">
        <f>SUMIF('Flt IIa'!A:A,A207,'Flt IIa'!E:E)/3.2808^2</f>
        <v>0</v>
      </c>
      <c r="U207" s="156">
        <f>SUMIF('OPC Des'!A:A,A207,'OPC Des'!F:F)/3.2808^2</f>
        <v>0</v>
      </c>
      <c r="V207" s="156">
        <f>SUMIF('LCS 5'!A:A,A207,'LCS 5'!E:E)</f>
        <v>0</v>
      </c>
      <c r="W207" s="156">
        <f>SUMIF('USCG Summary'!$A$25:$A$50,A207,'USCG Summary'!$D$25:$D$50)/3.2808^2</f>
        <v>0</v>
      </c>
      <c r="X207" s="156">
        <f>SUMIF('USCG Summary'!$A$25:$A$50,A207,'USCG Summary'!$I$25:$I$50)/3.2808^2</f>
        <v>0</v>
      </c>
      <c r="Y207" s="156">
        <f>SUMIF('USCG Summary'!$A$25:$A$50,A207,'USCG Summary'!$L$25:$L$50)/3.2808^2</f>
        <v>0</v>
      </c>
      <c r="Z207" s="156">
        <f>SUMIF('USCG Summary'!$A$25:$A$50,A207,'USCG Summary'!$O$25:$O$50)/3.2808^2</f>
        <v>0</v>
      </c>
      <c r="AA207" s="156">
        <f>SUMIF('USCG Summary'!$A$25:$A$50,A207,'USCG Summary'!$P$25:$P$50)/3.2808^2</f>
        <v>0</v>
      </c>
      <c r="AB207" s="156">
        <f>SUMIF('USCG Summary'!$A$25:$A$50,A207,'USCG Summary'!$Q$25:$Q$50)/3.2808^2</f>
        <v>0</v>
      </c>
      <c r="AC207" s="156">
        <f>SUMIF('USCG Summary'!$A$25:$A$50,A207,'USCG Summary'!$T$25:$T$50)/3.2808^2</f>
        <v>0</v>
      </c>
      <c r="AD207" s="156">
        <f>SUMIF('USCG Summary'!$A$25:$A$50,A207,'USCG Summary'!$W$25:$W$50)/3.2808^2</f>
        <v>0</v>
      </c>
      <c r="AE207" s="156">
        <f>SUMIF('USCG Summary'!$A$25:$A$50,A207,'USCG Summary'!$Z$25:$Z$50)/3.2808^2</f>
        <v>0</v>
      </c>
      <c r="AF207" s="156">
        <f>SUMIF(Comp!$A$75:$A$400,Areas!A207,Comp!$F$75:$F$400)</f>
        <v>0</v>
      </c>
      <c r="AG207" s="156">
        <f>SUMIF(Comp!$A$75:$A$400,Areas!A207,Comp!$G$75:$G$400)</f>
        <v>0</v>
      </c>
      <c r="AH207" s="156"/>
      <c r="AI207" s="156"/>
      <c r="AK207" s="145"/>
    </row>
    <row r="208" spans="1:37" s="134" customFormat="1">
      <c r="A208" s="140">
        <v>2.14</v>
      </c>
      <c r="B208" s="134" t="str">
        <f>Comp!B196</f>
        <v>GENERAL SANITARY FACILITIES</v>
      </c>
      <c r="C208" s="149">
        <f>SUM(C209:C210)+C211+C212+C213+C214</f>
        <v>3.9020225766120875</v>
      </c>
      <c r="D208" s="149">
        <f>T208</f>
        <v>3.902022576612088</v>
      </c>
      <c r="E208" s="149">
        <f>U208</f>
        <v>0</v>
      </c>
      <c r="F208" s="149">
        <f>V208</f>
        <v>0</v>
      </c>
      <c r="G208" s="409"/>
      <c r="H208" s="409"/>
      <c r="I208" s="409"/>
      <c r="J208" s="409"/>
      <c r="K208" s="409"/>
      <c r="L208" s="409"/>
      <c r="M208" s="409"/>
      <c r="N208" s="409"/>
      <c r="O208" s="409"/>
      <c r="P208" s="149">
        <f t="shared" si="58"/>
        <v>12.3</v>
      </c>
      <c r="Q208" s="149">
        <f t="shared" si="58"/>
        <v>12.3</v>
      </c>
      <c r="S208" s="153">
        <f>SUMIF('Flt III'!D:D,A208,'Flt III'!E:E)/3.2808^2</f>
        <v>0</v>
      </c>
      <c r="T208" s="153">
        <f>SUMIF('Flt IIa'!A:A,A208,'Flt IIa'!E:E)/3.2808^2</f>
        <v>3.902022576612088</v>
      </c>
      <c r="U208" s="153">
        <f>SUMIF('OPC Des'!A:A,A208,'OPC Des'!F:F)/3.2808^2</f>
        <v>0</v>
      </c>
      <c r="V208" s="153">
        <f>SUMIF('LCS 5'!A:A,A208,'LCS 5'!E:E)</f>
        <v>0</v>
      </c>
      <c r="W208" s="153">
        <f>SUMIF('USCG Summary'!$A$25:$A$50,A208,'USCG Summary'!$D$25:$D$50)/3.2808^2</f>
        <v>0</v>
      </c>
      <c r="X208" s="153">
        <f>SUMIF('USCG Summary'!$A$25:$A$50,A208,'USCG Summary'!$I$25:$I$50)/3.2808^2</f>
        <v>0</v>
      </c>
      <c r="Y208" s="153">
        <f>SUMIF('USCG Summary'!$A$25:$A$50,A208,'USCG Summary'!$L$25:$L$50)/3.2808^2</f>
        <v>0</v>
      </c>
      <c r="Z208" s="153">
        <f>SUMIF('USCG Summary'!$A$25:$A$50,A208,'USCG Summary'!$O$25:$O$50)/3.2808^2</f>
        <v>0</v>
      </c>
      <c r="AA208" s="153">
        <f>SUMIF('USCG Summary'!$A$25:$A$50,A208,'USCG Summary'!$P$25:$P$50)/3.2808^2</f>
        <v>0</v>
      </c>
      <c r="AB208" s="153">
        <f>SUMIF('USCG Summary'!$A$25:$A$50,A208,'USCG Summary'!$Q$25:$Q$50)/3.2808^2</f>
        <v>0</v>
      </c>
      <c r="AC208" s="153">
        <f>SUMIF('USCG Summary'!$A$25:$A$50,A208,'USCG Summary'!$T$25:$T$50)/3.2808^2</f>
        <v>0</v>
      </c>
      <c r="AD208" s="153">
        <f>SUMIF('USCG Summary'!$A$25:$A$50,A208,'USCG Summary'!$W$25:$W$50)/3.2808^2</f>
        <v>0</v>
      </c>
      <c r="AE208" s="153">
        <f>SUMIF('USCG Summary'!$A$25:$A$50,A208,'USCG Summary'!$Z$25:$Z$50)/3.2808^2</f>
        <v>0</v>
      </c>
      <c r="AF208" s="153">
        <f>SUMIF(Comp!$A$75:$A$400,Areas!A208,Comp!$F$75:$F$400)</f>
        <v>12.3</v>
      </c>
      <c r="AG208" s="153">
        <f>SUMIF(Comp!$A$75:$A$400,Areas!A208,Comp!$G$75:$G$400)</f>
        <v>12.3</v>
      </c>
      <c r="AH208" s="153"/>
      <c r="AI208" s="153"/>
      <c r="AK208" s="133"/>
    </row>
    <row r="209" spans="1:37" s="148" customFormat="1">
      <c r="A209" s="146" t="s">
        <v>1116</v>
      </c>
      <c r="C209" s="147">
        <f t="shared" ref="C209:F210" si="66">S209</f>
        <v>1.1148635933177393</v>
      </c>
      <c r="D209" s="147">
        <f t="shared" si="66"/>
        <v>0</v>
      </c>
      <c r="E209" s="147">
        <f t="shared" si="66"/>
        <v>0</v>
      </c>
      <c r="F209" s="147">
        <f t="shared" si="66"/>
        <v>0</v>
      </c>
      <c r="G209" s="411"/>
      <c r="H209" s="411"/>
      <c r="I209" s="411"/>
      <c r="J209" s="411"/>
      <c r="K209" s="411"/>
      <c r="L209" s="411"/>
      <c r="M209" s="411"/>
      <c r="N209" s="411"/>
      <c r="O209" s="411"/>
      <c r="P209" s="147">
        <f t="shared" si="58"/>
        <v>0</v>
      </c>
      <c r="Q209" s="147">
        <f t="shared" si="58"/>
        <v>0</v>
      </c>
      <c r="S209" s="155">
        <f>SUMIF('Flt III'!D:D,A209,'Flt III'!E:E)/3.2808^2</f>
        <v>1.1148635933177393</v>
      </c>
      <c r="T209" s="155">
        <f>SUMIF('Flt IIa'!A:A,A209,'Flt IIa'!E:E)/3.2808^2</f>
        <v>0</v>
      </c>
      <c r="U209" s="155">
        <f>SUMIF('OPC Des'!A:A,A209,'OPC Des'!F:F)/3.2808^2</f>
        <v>0</v>
      </c>
      <c r="V209" s="155">
        <f>SUMIF('LCS 5'!A:A,A209,'LCS 5'!E:E)</f>
        <v>0</v>
      </c>
      <c r="W209" s="155">
        <f>SUMIF('USCG Summary'!$A$25:$A$50,A209,'USCG Summary'!$D$25:$D$50)/3.2808^2</f>
        <v>0</v>
      </c>
      <c r="X209" s="155">
        <f>SUMIF('USCG Summary'!$A$25:$A$50,A209,'USCG Summary'!$I$25:$I$50)/3.2808^2</f>
        <v>0</v>
      </c>
      <c r="Y209" s="155">
        <f>SUMIF('USCG Summary'!$A$25:$A$50,A209,'USCG Summary'!$L$25:$L$50)/3.2808^2</f>
        <v>0</v>
      </c>
      <c r="Z209" s="155">
        <f>SUMIF('USCG Summary'!$A$25:$A$50,A209,'USCG Summary'!$O$25:$O$50)/3.2808^2</f>
        <v>0</v>
      </c>
      <c r="AA209" s="155">
        <f>SUMIF('USCG Summary'!$A$25:$A$50,A209,'USCG Summary'!$P$25:$P$50)/3.2808^2</f>
        <v>0</v>
      </c>
      <c r="AB209" s="155">
        <f>SUMIF('USCG Summary'!$A$25:$A$50,A209,'USCG Summary'!$Q$25:$Q$50)/3.2808^2</f>
        <v>0</v>
      </c>
      <c r="AC209" s="155">
        <f>SUMIF('USCG Summary'!$A$25:$A$50,A209,'USCG Summary'!$T$25:$T$50)/3.2808^2</f>
        <v>0</v>
      </c>
      <c r="AD209" s="155">
        <f>SUMIF('USCG Summary'!$A$25:$A$50,A209,'USCG Summary'!$W$25:$W$50)/3.2808^2</f>
        <v>0</v>
      </c>
      <c r="AE209" s="155">
        <f>SUMIF('USCG Summary'!$A$25:$A$50,A209,'USCG Summary'!$Z$25:$Z$50)/3.2808^2</f>
        <v>0</v>
      </c>
      <c r="AF209" s="155">
        <f>SUMIF(Comp!$A$75:$A$400,Areas!A209,Comp!$F$75:$F$400)</f>
        <v>0</v>
      </c>
      <c r="AG209" s="155">
        <f>SUMIF(Comp!$A$75:$A$400,Areas!A209,Comp!$G$75:$G$400)</f>
        <v>0</v>
      </c>
      <c r="AH209" s="155"/>
      <c r="AI209" s="155"/>
      <c r="AK209" s="147"/>
    </row>
    <row r="210" spans="1:37" s="148" customFormat="1">
      <c r="A210" s="146" t="s">
        <v>1113</v>
      </c>
      <c r="C210" s="147">
        <f t="shared" si="66"/>
        <v>2.7871589832943484</v>
      </c>
      <c r="D210" s="147">
        <f t="shared" si="66"/>
        <v>0</v>
      </c>
      <c r="E210" s="147">
        <f t="shared" si="66"/>
        <v>0</v>
      </c>
      <c r="F210" s="147">
        <f t="shared" si="66"/>
        <v>0</v>
      </c>
      <c r="G210" s="411"/>
      <c r="H210" s="411"/>
      <c r="I210" s="411"/>
      <c r="J210" s="411"/>
      <c r="K210" s="411"/>
      <c r="L210" s="411"/>
      <c r="M210" s="411"/>
      <c r="N210" s="411"/>
      <c r="O210" s="411"/>
      <c r="P210" s="147">
        <f t="shared" si="58"/>
        <v>0</v>
      </c>
      <c r="Q210" s="147">
        <f t="shared" si="58"/>
        <v>0</v>
      </c>
      <c r="S210" s="155">
        <f>SUMIF('Flt III'!D:D,A210,'Flt III'!E:E)/3.2808^2</f>
        <v>2.7871589832943484</v>
      </c>
      <c r="T210" s="155">
        <f>SUMIF('Flt IIa'!A:A,A210,'Flt IIa'!E:E)/3.2808^2</f>
        <v>0</v>
      </c>
      <c r="U210" s="155">
        <f>SUMIF('OPC Des'!A:A,A210,'OPC Des'!F:F)/3.2808^2</f>
        <v>0</v>
      </c>
      <c r="V210" s="155">
        <f>SUMIF('LCS 5'!A:A,A210,'LCS 5'!E:E)</f>
        <v>0</v>
      </c>
      <c r="W210" s="155">
        <f>SUMIF('USCG Summary'!$A$25:$A$50,A210,'USCG Summary'!$D$25:$D$50)/3.2808^2</f>
        <v>0</v>
      </c>
      <c r="X210" s="155">
        <f>SUMIF('USCG Summary'!$A$25:$A$50,A210,'USCG Summary'!$I$25:$I$50)/3.2808^2</f>
        <v>0</v>
      </c>
      <c r="Y210" s="155">
        <f>SUMIF('USCG Summary'!$A$25:$A$50,A210,'USCG Summary'!$L$25:$L$50)/3.2808^2</f>
        <v>0</v>
      </c>
      <c r="Z210" s="155">
        <f>SUMIF('USCG Summary'!$A$25:$A$50,A210,'USCG Summary'!$O$25:$O$50)/3.2808^2</f>
        <v>0</v>
      </c>
      <c r="AA210" s="155">
        <f>SUMIF('USCG Summary'!$A$25:$A$50,A210,'USCG Summary'!$P$25:$P$50)/3.2808^2</f>
        <v>0</v>
      </c>
      <c r="AB210" s="155">
        <f>SUMIF('USCG Summary'!$A$25:$A$50,A210,'USCG Summary'!$Q$25:$Q$50)/3.2808^2</f>
        <v>0</v>
      </c>
      <c r="AC210" s="155">
        <f>SUMIF('USCG Summary'!$A$25:$A$50,A210,'USCG Summary'!$T$25:$T$50)/3.2808^2</f>
        <v>0</v>
      </c>
      <c r="AD210" s="155">
        <f>SUMIF('USCG Summary'!$A$25:$A$50,A210,'USCG Summary'!$W$25:$W$50)/3.2808^2</f>
        <v>0</v>
      </c>
      <c r="AE210" s="155">
        <f>SUMIF('USCG Summary'!$A$25:$A$50,A210,'USCG Summary'!$Z$25:$Z$50)/3.2808^2</f>
        <v>0</v>
      </c>
      <c r="AF210" s="155">
        <f>SUMIF(Comp!$A$75:$A$400,Areas!A210,Comp!$F$75:$F$400)</f>
        <v>0</v>
      </c>
      <c r="AG210" s="155">
        <f>SUMIF(Comp!$A$75:$A$400,Areas!A210,Comp!$G$75:$G$400)</f>
        <v>0</v>
      </c>
      <c r="AH210" s="155"/>
      <c r="AI210" s="155"/>
      <c r="AK210" s="147"/>
    </row>
    <row r="211" spans="1:37" s="132" customFormat="1">
      <c r="A211" s="142">
        <v>2.141</v>
      </c>
      <c r="B211" s="132" t="str">
        <f>Comp!B197</f>
        <v>LADIES RETIRING ROOM</v>
      </c>
      <c r="C211" s="143">
        <f>S211</f>
        <v>0</v>
      </c>
      <c r="D211" s="143">
        <f>T211</f>
        <v>0</v>
      </c>
      <c r="E211" s="143">
        <f>U211</f>
        <v>0</v>
      </c>
      <c r="F211" s="143">
        <f>V211</f>
        <v>0</v>
      </c>
      <c r="G211" s="410"/>
      <c r="H211" s="410"/>
      <c r="I211" s="410"/>
      <c r="J211" s="410"/>
      <c r="K211" s="410"/>
      <c r="L211" s="410"/>
      <c r="M211" s="410"/>
      <c r="N211" s="410"/>
      <c r="O211" s="410"/>
      <c r="P211" s="143">
        <f t="shared" si="58"/>
        <v>5.5</v>
      </c>
      <c r="Q211" s="143">
        <f t="shared" si="58"/>
        <v>5.5</v>
      </c>
      <c r="S211" s="154">
        <f>SUMIF('Flt III'!D:D,A211,'Flt III'!E:E)/3.2808^2</f>
        <v>0</v>
      </c>
      <c r="T211" s="154">
        <f>SUMIF('Flt IIa'!A:A,A211,'Flt IIa'!E:E)/3.2808^2</f>
        <v>0</v>
      </c>
      <c r="U211" s="154">
        <f>SUMIF('OPC Des'!A:A,A211,'OPC Des'!F:F)/3.2808^2</f>
        <v>0</v>
      </c>
      <c r="V211" s="154">
        <f>SUMIF('LCS 5'!A:A,A211,'LCS 5'!E:E)</f>
        <v>0</v>
      </c>
      <c r="W211" s="154">
        <f>SUMIF('USCG Summary'!$A$25:$A$50,A211,'USCG Summary'!$D$25:$D$50)/3.2808^2</f>
        <v>0</v>
      </c>
      <c r="X211" s="154">
        <f>SUMIF('USCG Summary'!$A$25:$A$50,A211,'USCG Summary'!$I$25:$I$50)/3.2808^2</f>
        <v>0</v>
      </c>
      <c r="Y211" s="154">
        <f>SUMIF('USCG Summary'!$A$25:$A$50,A211,'USCG Summary'!$L$25:$L$50)/3.2808^2</f>
        <v>0</v>
      </c>
      <c r="Z211" s="154">
        <f>SUMIF('USCG Summary'!$A$25:$A$50,A211,'USCG Summary'!$O$25:$O$50)/3.2808^2</f>
        <v>0</v>
      </c>
      <c r="AA211" s="154">
        <f>SUMIF('USCG Summary'!$A$25:$A$50,A211,'USCG Summary'!$P$25:$P$50)/3.2808^2</f>
        <v>0</v>
      </c>
      <c r="AB211" s="154">
        <f>SUMIF('USCG Summary'!$A$25:$A$50,A211,'USCG Summary'!$Q$25:$Q$50)/3.2808^2</f>
        <v>0</v>
      </c>
      <c r="AC211" s="154">
        <f>SUMIF('USCG Summary'!$A$25:$A$50,A211,'USCG Summary'!$T$25:$T$50)/3.2808^2</f>
        <v>0</v>
      </c>
      <c r="AD211" s="154">
        <f>SUMIF('USCG Summary'!$A$25:$A$50,A211,'USCG Summary'!$W$25:$W$50)/3.2808^2</f>
        <v>0</v>
      </c>
      <c r="AE211" s="154">
        <f>SUMIF('USCG Summary'!$A$25:$A$50,A211,'USCG Summary'!$Z$25:$Z$50)/3.2808^2</f>
        <v>0</v>
      </c>
      <c r="AF211" s="154">
        <f>SUMIF(Comp!$A$75:$A$400,Areas!A211,Comp!$F$75:$F$400)</f>
        <v>5.5</v>
      </c>
      <c r="AG211" s="154">
        <f>SUMIF(Comp!$A$75:$A$400,Areas!A211,Comp!$G$75:$G$400)</f>
        <v>5.5</v>
      </c>
      <c r="AH211" s="154"/>
      <c r="AI211" s="154"/>
      <c r="AK211" s="143"/>
    </row>
    <row r="212" spans="1:37" s="132" customFormat="1">
      <c r="A212" s="142">
        <v>2.1419999999999999</v>
      </c>
      <c r="B212" s="132" t="str">
        <f>Comp!B198</f>
        <v>BRIDGE WASHRM+WATER CLOSET</v>
      </c>
      <c r="C212" s="143">
        <f t="shared" ref="C212:F214" si="67">S212</f>
        <v>0</v>
      </c>
      <c r="D212" s="143">
        <f t="shared" si="67"/>
        <v>0</v>
      </c>
      <c r="E212" s="143">
        <f t="shared" si="67"/>
        <v>0</v>
      </c>
      <c r="F212" s="143">
        <f t="shared" si="67"/>
        <v>0</v>
      </c>
      <c r="G212" s="410"/>
      <c r="H212" s="410"/>
      <c r="I212" s="410"/>
      <c r="J212" s="410"/>
      <c r="K212" s="410"/>
      <c r="L212" s="410"/>
      <c r="M212" s="410"/>
      <c r="N212" s="410"/>
      <c r="O212" s="410"/>
      <c r="P212" s="143">
        <f t="shared" si="58"/>
        <v>2.2000000000000002</v>
      </c>
      <c r="Q212" s="143">
        <f t="shared" si="58"/>
        <v>2.2000000000000002</v>
      </c>
      <c r="S212" s="154">
        <f>SUMIF('Flt III'!D:D,A212,'Flt III'!E:E)/3.2808^2</f>
        <v>0</v>
      </c>
      <c r="T212" s="154">
        <f>SUMIF('Flt IIa'!A:A,A212,'Flt IIa'!E:E)/3.2808^2</f>
        <v>0</v>
      </c>
      <c r="U212" s="154">
        <f>SUMIF('OPC Des'!A:A,A212,'OPC Des'!F:F)/3.2808^2</f>
        <v>0</v>
      </c>
      <c r="V212" s="154">
        <f>SUMIF('LCS 5'!A:A,A212,'LCS 5'!E:E)</f>
        <v>0</v>
      </c>
      <c r="W212" s="154">
        <f>SUMIF('USCG Summary'!$A$25:$A$50,A212,'USCG Summary'!$D$25:$D$50)/3.2808^2</f>
        <v>0</v>
      </c>
      <c r="X212" s="154">
        <f>SUMIF('USCG Summary'!$A$25:$A$50,A212,'USCG Summary'!$I$25:$I$50)/3.2808^2</f>
        <v>0</v>
      </c>
      <c r="Y212" s="154">
        <f>SUMIF('USCG Summary'!$A$25:$A$50,A212,'USCG Summary'!$L$25:$L$50)/3.2808^2</f>
        <v>0</v>
      </c>
      <c r="Z212" s="154">
        <f>SUMIF('USCG Summary'!$A$25:$A$50,A212,'USCG Summary'!$O$25:$O$50)/3.2808^2</f>
        <v>0</v>
      </c>
      <c r="AA212" s="154">
        <f>SUMIF('USCG Summary'!$A$25:$A$50,A212,'USCG Summary'!$P$25:$P$50)/3.2808^2</f>
        <v>0</v>
      </c>
      <c r="AB212" s="154">
        <f>SUMIF('USCG Summary'!$A$25:$A$50,A212,'USCG Summary'!$Q$25:$Q$50)/3.2808^2</f>
        <v>0</v>
      </c>
      <c r="AC212" s="154">
        <f>SUMIF('USCG Summary'!$A$25:$A$50,A212,'USCG Summary'!$T$25:$T$50)/3.2808^2</f>
        <v>0</v>
      </c>
      <c r="AD212" s="154">
        <f>SUMIF('USCG Summary'!$A$25:$A$50,A212,'USCG Summary'!$W$25:$W$50)/3.2808^2</f>
        <v>0</v>
      </c>
      <c r="AE212" s="154">
        <f>SUMIF('USCG Summary'!$A$25:$A$50,A212,'USCG Summary'!$Z$25:$Z$50)/3.2808^2</f>
        <v>0</v>
      </c>
      <c r="AF212" s="154">
        <f>SUMIF(Comp!$A$75:$A$400,Areas!A212,Comp!$F$75:$F$400)</f>
        <v>2.2000000000000002</v>
      </c>
      <c r="AG212" s="154">
        <f>SUMIF(Comp!$A$75:$A$400,Areas!A212,Comp!$G$75:$G$400)</f>
        <v>2.2000000000000002</v>
      </c>
      <c r="AH212" s="154"/>
      <c r="AI212" s="154"/>
      <c r="AK212" s="143"/>
    </row>
    <row r="213" spans="1:37" s="132" customFormat="1">
      <c r="A213" s="142">
        <v>2.1429999999999998</v>
      </c>
      <c r="B213" s="132" t="str">
        <f>Comp!B199</f>
        <v>DECK WASHRM+WATER CLOSET</v>
      </c>
      <c r="C213" s="143">
        <f t="shared" si="67"/>
        <v>0</v>
      </c>
      <c r="D213" s="143">
        <f t="shared" si="67"/>
        <v>0</v>
      </c>
      <c r="E213" s="143">
        <f t="shared" si="67"/>
        <v>0</v>
      </c>
      <c r="F213" s="143">
        <f t="shared" si="67"/>
        <v>0</v>
      </c>
      <c r="G213" s="410"/>
      <c r="H213" s="410"/>
      <c r="I213" s="410"/>
      <c r="J213" s="410"/>
      <c r="K213" s="410"/>
      <c r="L213" s="410"/>
      <c r="M213" s="410"/>
      <c r="N213" s="410"/>
      <c r="O213" s="410"/>
      <c r="P213" s="143">
        <f t="shared" si="58"/>
        <v>2.2000000000000002</v>
      </c>
      <c r="Q213" s="143">
        <f t="shared" si="58"/>
        <v>2.2000000000000002</v>
      </c>
      <c r="S213" s="154">
        <f>SUMIF('Flt III'!D:D,A213,'Flt III'!E:E)/3.2808^2</f>
        <v>0</v>
      </c>
      <c r="T213" s="154">
        <f>SUMIF('Flt IIa'!A:A,A213,'Flt IIa'!E:E)/3.2808^2</f>
        <v>0</v>
      </c>
      <c r="U213" s="154">
        <f>SUMIF('OPC Des'!A:A,A213,'OPC Des'!F:F)/3.2808^2</f>
        <v>0</v>
      </c>
      <c r="V213" s="154">
        <f>SUMIF('LCS 5'!A:A,A213,'LCS 5'!E:E)</f>
        <v>0</v>
      </c>
      <c r="W213" s="154">
        <f>SUMIF('USCG Summary'!$A$25:$A$50,A213,'USCG Summary'!$D$25:$D$50)/3.2808^2</f>
        <v>0</v>
      </c>
      <c r="X213" s="154">
        <f>SUMIF('USCG Summary'!$A$25:$A$50,A213,'USCG Summary'!$I$25:$I$50)/3.2808^2</f>
        <v>0</v>
      </c>
      <c r="Y213" s="154">
        <f>SUMIF('USCG Summary'!$A$25:$A$50,A213,'USCG Summary'!$L$25:$L$50)/3.2808^2</f>
        <v>0</v>
      </c>
      <c r="Z213" s="154">
        <f>SUMIF('USCG Summary'!$A$25:$A$50,A213,'USCG Summary'!$O$25:$O$50)/3.2808^2</f>
        <v>0</v>
      </c>
      <c r="AA213" s="154">
        <f>SUMIF('USCG Summary'!$A$25:$A$50,A213,'USCG Summary'!$P$25:$P$50)/3.2808^2</f>
        <v>0</v>
      </c>
      <c r="AB213" s="154">
        <f>SUMIF('USCG Summary'!$A$25:$A$50,A213,'USCG Summary'!$Q$25:$Q$50)/3.2808^2</f>
        <v>0</v>
      </c>
      <c r="AC213" s="154">
        <f>SUMIF('USCG Summary'!$A$25:$A$50,A213,'USCG Summary'!$T$25:$T$50)/3.2808^2</f>
        <v>0</v>
      </c>
      <c r="AD213" s="154">
        <f>SUMIF('USCG Summary'!$A$25:$A$50,A213,'USCG Summary'!$W$25:$W$50)/3.2808^2</f>
        <v>0</v>
      </c>
      <c r="AE213" s="154">
        <f>SUMIF('USCG Summary'!$A$25:$A$50,A213,'USCG Summary'!$Z$25:$Z$50)/3.2808^2</f>
        <v>0</v>
      </c>
      <c r="AF213" s="154">
        <f>SUMIF(Comp!$A$75:$A$400,Areas!A213,Comp!$F$75:$F$400)</f>
        <v>2.2000000000000002</v>
      </c>
      <c r="AG213" s="154">
        <f>SUMIF(Comp!$A$75:$A$400,Areas!A213,Comp!$G$75:$G$400)</f>
        <v>2.2000000000000002</v>
      </c>
      <c r="AH213" s="154"/>
      <c r="AI213" s="154"/>
      <c r="AK213" s="143"/>
    </row>
    <row r="214" spans="1:37" s="132" customFormat="1">
      <c r="A214" s="142">
        <v>2.1440000000000001</v>
      </c>
      <c r="B214" s="132" t="str">
        <f>Comp!B200</f>
        <v>ENG WASHRM+WATER CLOSET</v>
      </c>
      <c r="C214" s="143">
        <f t="shared" si="67"/>
        <v>0</v>
      </c>
      <c r="D214" s="143">
        <f t="shared" si="67"/>
        <v>0</v>
      </c>
      <c r="E214" s="143">
        <f t="shared" si="67"/>
        <v>0</v>
      </c>
      <c r="F214" s="143">
        <f t="shared" si="67"/>
        <v>0</v>
      </c>
      <c r="G214" s="410"/>
      <c r="H214" s="410"/>
      <c r="I214" s="410"/>
      <c r="J214" s="410"/>
      <c r="K214" s="410"/>
      <c r="L214" s="410"/>
      <c r="M214" s="410"/>
      <c r="N214" s="410"/>
      <c r="O214" s="410"/>
      <c r="P214" s="143">
        <f t="shared" si="58"/>
        <v>2.2000000000000002</v>
      </c>
      <c r="Q214" s="143">
        <f t="shared" si="58"/>
        <v>2.2000000000000002</v>
      </c>
      <c r="S214" s="154">
        <f>SUMIF('Flt III'!D:D,A214,'Flt III'!E:E)/3.2808^2</f>
        <v>0</v>
      </c>
      <c r="T214" s="154">
        <f>SUMIF('Flt IIa'!A:A,A214,'Flt IIa'!E:E)/3.2808^2</f>
        <v>0</v>
      </c>
      <c r="U214" s="154">
        <f>SUMIF('OPC Des'!A:A,A214,'OPC Des'!F:F)/3.2808^2</f>
        <v>0</v>
      </c>
      <c r="V214" s="154">
        <f>SUMIF('LCS 5'!A:A,A214,'LCS 5'!E:E)</f>
        <v>0</v>
      </c>
      <c r="W214" s="154">
        <f>SUMIF('USCG Summary'!$A$25:$A$50,A214,'USCG Summary'!$D$25:$D$50)/3.2808^2</f>
        <v>0</v>
      </c>
      <c r="X214" s="154">
        <f>SUMIF('USCG Summary'!$A$25:$A$50,A214,'USCG Summary'!$I$25:$I$50)/3.2808^2</f>
        <v>0</v>
      </c>
      <c r="Y214" s="154">
        <f>SUMIF('USCG Summary'!$A$25:$A$50,A214,'USCG Summary'!$L$25:$L$50)/3.2808^2</f>
        <v>0</v>
      </c>
      <c r="Z214" s="154">
        <f>SUMIF('USCG Summary'!$A$25:$A$50,A214,'USCG Summary'!$O$25:$O$50)/3.2808^2</f>
        <v>0</v>
      </c>
      <c r="AA214" s="154">
        <f>SUMIF('USCG Summary'!$A$25:$A$50,A214,'USCG Summary'!$P$25:$P$50)/3.2808^2</f>
        <v>0</v>
      </c>
      <c r="AB214" s="154">
        <f>SUMIF('USCG Summary'!$A$25:$A$50,A214,'USCG Summary'!$Q$25:$Q$50)/3.2808^2</f>
        <v>0</v>
      </c>
      <c r="AC214" s="154">
        <f>SUMIF('USCG Summary'!$A$25:$A$50,A214,'USCG Summary'!$T$25:$T$50)/3.2808^2</f>
        <v>0</v>
      </c>
      <c r="AD214" s="154">
        <f>SUMIF('USCG Summary'!$A$25:$A$50,A214,'USCG Summary'!$W$25:$W$50)/3.2808^2</f>
        <v>0</v>
      </c>
      <c r="AE214" s="154">
        <f>SUMIF('USCG Summary'!$A$25:$A$50,A214,'USCG Summary'!$Z$25:$Z$50)/3.2808^2</f>
        <v>0</v>
      </c>
      <c r="AF214" s="154">
        <f>SUMIF(Comp!$A$75:$A$400,Areas!A214,Comp!$F$75:$F$400)</f>
        <v>2.2000000000000002</v>
      </c>
      <c r="AG214" s="154">
        <f>SUMIF(Comp!$A$75:$A$400,Areas!A214,Comp!$G$75:$G$400)</f>
        <v>2.2000000000000002</v>
      </c>
      <c r="AH214" s="154"/>
      <c r="AI214" s="154"/>
      <c r="AK214" s="143"/>
    </row>
    <row r="215" spans="1:37" s="134" customFormat="1">
      <c r="A215" s="140">
        <v>2.15</v>
      </c>
      <c r="B215" s="134" t="str">
        <f>Comp!B201</f>
        <v>SHIP RECREATION FAC</v>
      </c>
      <c r="C215" s="149">
        <f>C216+C218+C220+C224</f>
        <v>19.974639380276162</v>
      </c>
      <c r="D215" s="149">
        <f>D216+D218+D220+D224</f>
        <v>32.609760104543874</v>
      </c>
      <c r="E215" s="149">
        <f>E216+E218+E220+E224</f>
        <v>0</v>
      </c>
      <c r="F215" s="149">
        <f>F216+F218+F220+F224</f>
        <v>0</v>
      </c>
      <c r="G215" s="409"/>
      <c r="H215" s="409"/>
      <c r="I215" s="409"/>
      <c r="J215" s="409"/>
      <c r="K215" s="409"/>
      <c r="L215" s="409"/>
      <c r="M215" s="409"/>
      <c r="N215" s="409"/>
      <c r="O215" s="409"/>
      <c r="P215" s="149">
        <f t="shared" si="58"/>
        <v>13.5</v>
      </c>
      <c r="Q215" s="149">
        <f t="shared" si="58"/>
        <v>13.5</v>
      </c>
      <c r="S215" s="153">
        <f>SUMIF('Flt III'!D:D,A215,'Flt III'!E:E)/3.2808^2</f>
        <v>0</v>
      </c>
      <c r="T215" s="153">
        <f>SUMIF('Flt IIa'!A:A,A215,'Flt IIa'!E:E)/3.2808^2</f>
        <v>0</v>
      </c>
      <c r="U215" s="153">
        <f>SUMIF('OPC Des'!A:A,A215,'OPC Des'!F:F)/3.2808^2</f>
        <v>0</v>
      </c>
      <c r="V215" s="153">
        <f>SUMIF('LCS 5'!A:A,A215,'LCS 5'!E:E)</f>
        <v>0</v>
      </c>
      <c r="W215" s="153">
        <f>SUMIF('USCG Summary'!$A$25:$A$50,A215,'USCG Summary'!$D$25:$D$50)/3.2808^2</f>
        <v>0</v>
      </c>
      <c r="X215" s="153">
        <f>SUMIF('USCG Summary'!$A$25:$A$50,A215,'USCG Summary'!$I$25:$I$50)/3.2808^2</f>
        <v>0</v>
      </c>
      <c r="Y215" s="153">
        <f>SUMIF('USCG Summary'!$A$25:$A$50,A215,'USCG Summary'!$L$25:$L$50)/3.2808^2</f>
        <v>0</v>
      </c>
      <c r="Z215" s="153">
        <f>SUMIF('USCG Summary'!$A$25:$A$50,A215,'USCG Summary'!$O$25:$O$50)/3.2808^2</f>
        <v>0</v>
      </c>
      <c r="AA215" s="153">
        <f>SUMIF('USCG Summary'!$A$25:$A$50,A215,'USCG Summary'!$P$25:$P$50)/3.2808^2</f>
        <v>0</v>
      </c>
      <c r="AB215" s="153">
        <f>SUMIF('USCG Summary'!$A$25:$A$50,A215,'USCG Summary'!$Q$25:$Q$50)/3.2808^2</f>
        <v>0</v>
      </c>
      <c r="AC215" s="153">
        <f>SUMIF('USCG Summary'!$A$25:$A$50,A215,'USCG Summary'!$T$25:$T$50)/3.2808^2</f>
        <v>0</v>
      </c>
      <c r="AD215" s="153">
        <f>SUMIF('USCG Summary'!$A$25:$A$50,A215,'USCG Summary'!$W$25:$W$50)/3.2808^2</f>
        <v>0</v>
      </c>
      <c r="AE215" s="153">
        <f>SUMIF('USCG Summary'!$A$25:$A$50,A215,'USCG Summary'!$Z$25:$Z$50)/3.2808^2</f>
        <v>0</v>
      </c>
      <c r="AF215" s="153">
        <f>SUMIF(Comp!$A$75:$A$400,Areas!A215,Comp!$F$75:$F$400)</f>
        <v>13.5</v>
      </c>
      <c r="AG215" s="153">
        <f>SUMIF(Comp!$A$75:$A$400,Areas!A215,Comp!$G$75:$G$400)</f>
        <v>13.5</v>
      </c>
      <c r="AH215" s="153"/>
      <c r="AI215" s="153"/>
      <c r="AK215" s="133"/>
    </row>
    <row r="216" spans="1:37" s="132" customFormat="1">
      <c r="A216" s="142">
        <v>2.1509999999999998</v>
      </c>
      <c r="B216" s="132" t="str">
        <f>Comp!B202</f>
        <v>MUSIC</v>
      </c>
      <c r="C216" s="143">
        <f>SUM(C217)</f>
        <v>0</v>
      </c>
      <c r="D216" s="143">
        <f>SUM(D217)</f>
        <v>0</v>
      </c>
      <c r="E216" s="143">
        <f>SUM(E217)</f>
        <v>0</v>
      </c>
      <c r="F216" s="143">
        <f>SUM(F217)</f>
        <v>0</v>
      </c>
      <c r="G216" s="410"/>
      <c r="H216" s="410"/>
      <c r="I216" s="410"/>
      <c r="J216" s="410"/>
      <c r="K216" s="410"/>
      <c r="L216" s="410"/>
      <c r="M216" s="410"/>
      <c r="N216" s="410"/>
      <c r="O216" s="410"/>
      <c r="P216" s="143">
        <f t="shared" si="58"/>
        <v>7.2</v>
      </c>
      <c r="Q216" s="143">
        <f t="shared" si="58"/>
        <v>7.2</v>
      </c>
      <c r="S216" s="154">
        <f>SUMIF('Flt III'!D:D,A216,'Flt III'!E:E)/3.2808^2</f>
        <v>0</v>
      </c>
      <c r="T216" s="154">
        <f>SUMIF('Flt IIa'!A:A,A216,'Flt IIa'!E:E)/3.2808^2</f>
        <v>0</v>
      </c>
      <c r="U216" s="154">
        <f>SUMIF('OPC Des'!A:A,A216,'OPC Des'!F:F)/3.2808^2</f>
        <v>0</v>
      </c>
      <c r="V216" s="154">
        <f>SUMIF('LCS 5'!A:A,A216,'LCS 5'!E:E)</f>
        <v>0</v>
      </c>
      <c r="W216" s="154">
        <f>SUMIF('USCG Summary'!$A$25:$A$50,A216,'USCG Summary'!$D$25:$D$50)/3.2808^2</f>
        <v>0</v>
      </c>
      <c r="X216" s="154">
        <f>SUMIF('USCG Summary'!$A$25:$A$50,A216,'USCG Summary'!$I$25:$I$50)/3.2808^2</f>
        <v>0</v>
      </c>
      <c r="Y216" s="154">
        <f>SUMIF('USCG Summary'!$A$25:$A$50,A216,'USCG Summary'!$L$25:$L$50)/3.2808^2</f>
        <v>0</v>
      </c>
      <c r="Z216" s="154">
        <f>SUMIF('USCG Summary'!$A$25:$A$50,A216,'USCG Summary'!$O$25:$O$50)/3.2808^2</f>
        <v>0</v>
      </c>
      <c r="AA216" s="154">
        <f>SUMIF('USCG Summary'!$A$25:$A$50,A216,'USCG Summary'!$P$25:$P$50)/3.2808^2</f>
        <v>0</v>
      </c>
      <c r="AB216" s="154">
        <f>SUMIF('USCG Summary'!$A$25:$A$50,A216,'USCG Summary'!$Q$25:$Q$50)/3.2808^2</f>
        <v>0</v>
      </c>
      <c r="AC216" s="154">
        <f>SUMIF('USCG Summary'!$A$25:$A$50,A216,'USCG Summary'!$T$25:$T$50)/3.2808^2</f>
        <v>0</v>
      </c>
      <c r="AD216" s="154">
        <f>SUMIF('USCG Summary'!$A$25:$A$50,A216,'USCG Summary'!$W$25:$W$50)/3.2808^2</f>
        <v>0</v>
      </c>
      <c r="AE216" s="154">
        <f>SUMIF('USCG Summary'!$A$25:$A$50,A216,'USCG Summary'!$Z$25:$Z$50)/3.2808^2</f>
        <v>0</v>
      </c>
      <c r="AF216" s="154">
        <f>SUMIF(Comp!$A$75:$A$400,Areas!A216,Comp!$F$75:$F$400)</f>
        <v>7.2</v>
      </c>
      <c r="AG216" s="154">
        <f>SUMIF(Comp!$A$75:$A$400,Areas!A216,Comp!$G$75:$G$400)</f>
        <v>7.2</v>
      </c>
      <c r="AH216" s="154"/>
      <c r="AI216" s="154"/>
      <c r="AK216" s="143"/>
    </row>
    <row r="217" spans="1:37" s="141" customFormat="1">
      <c r="A217" s="144">
        <v>2.1511</v>
      </c>
      <c r="B217" s="141" t="str">
        <f>Comp!B203</f>
        <v>ENTERTAINMENT EQUIP STRM</v>
      </c>
      <c r="C217" s="145">
        <f t="shared" ref="C217:F217" si="68">S217</f>
        <v>0</v>
      </c>
      <c r="D217" s="145">
        <f t="shared" si="68"/>
        <v>0</v>
      </c>
      <c r="E217" s="145">
        <f t="shared" si="68"/>
        <v>0</v>
      </c>
      <c r="F217" s="145">
        <f t="shared" si="68"/>
        <v>0</v>
      </c>
      <c r="G217" s="412"/>
      <c r="H217" s="412"/>
      <c r="I217" s="412"/>
      <c r="J217" s="412"/>
      <c r="K217" s="412"/>
      <c r="L217" s="412"/>
      <c r="M217" s="412"/>
      <c r="N217" s="412"/>
      <c r="O217" s="412"/>
      <c r="P217" s="145">
        <f t="shared" si="58"/>
        <v>7.2</v>
      </c>
      <c r="Q217" s="145">
        <f t="shared" si="58"/>
        <v>7.2</v>
      </c>
      <c r="S217" s="156">
        <f>SUMIF('Flt III'!D:D,A217,'Flt III'!E:E)/3.2808^2</f>
        <v>0</v>
      </c>
      <c r="T217" s="156">
        <f>SUMIF('Flt IIa'!A:A,A217,'Flt IIa'!E:E)/3.2808^2</f>
        <v>0</v>
      </c>
      <c r="U217" s="156">
        <f>SUMIF('OPC Des'!A:A,A217,'OPC Des'!F:F)/3.2808^2</f>
        <v>0</v>
      </c>
      <c r="V217" s="156">
        <f>SUMIF('LCS 5'!A:A,A217,'LCS 5'!E:E)</f>
        <v>0</v>
      </c>
      <c r="W217" s="156">
        <f>SUMIF('USCG Summary'!$A$25:$A$50,A217,'USCG Summary'!$D$25:$D$50)/3.2808^2</f>
        <v>0</v>
      </c>
      <c r="X217" s="156">
        <f>SUMIF('USCG Summary'!$A$25:$A$50,A217,'USCG Summary'!$I$25:$I$50)/3.2808^2</f>
        <v>0</v>
      </c>
      <c r="Y217" s="156">
        <f>SUMIF('USCG Summary'!$A$25:$A$50,A217,'USCG Summary'!$L$25:$L$50)/3.2808^2</f>
        <v>0</v>
      </c>
      <c r="Z217" s="156">
        <f>SUMIF('USCG Summary'!$A$25:$A$50,A217,'USCG Summary'!$O$25:$O$50)/3.2808^2</f>
        <v>0</v>
      </c>
      <c r="AA217" s="156">
        <f>SUMIF('USCG Summary'!$A$25:$A$50,A217,'USCG Summary'!$P$25:$P$50)/3.2808^2</f>
        <v>0</v>
      </c>
      <c r="AB217" s="156">
        <f>SUMIF('USCG Summary'!$A$25:$A$50,A217,'USCG Summary'!$Q$25:$Q$50)/3.2808^2</f>
        <v>0</v>
      </c>
      <c r="AC217" s="156">
        <f>SUMIF('USCG Summary'!$A$25:$A$50,A217,'USCG Summary'!$T$25:$T$50)/3.2808^2</f>
        <v>0</v>
      </c>
      <c r="AD217" s="156">
        <f>SUMIF('USCG Summary'!$A$25:$A$50,A217,'USCG Summary'!$W$25:$W$50)/3.2808^2</f>
        <v>0</v>
      </c>
      <c r="AE217" s="156">
        <f>SUMIF('USCG Summary'!$A$25:$A$50,A217,'USCG Summary'!$Z$25:$Z$50)/3.2808^2</f>
        <v>0</v>
      </c>
      <c r="AF217" s="156">
        <f>SUMIF(Comp!$A$75:$A$400,Areas!A217,Comp!$F$75:$F$400)</f>
        <v>7.2</v>
      </c>
      <c r="AG217" s="156">
        <f>SUMIF(Comp!$A$75:$A$400,Areas!A217,Comp!$G$75:$G$400)</f>
        <v>7.2</v>
      </c>
      <c r="AH217" s="156"/>
      <c r="AI217" s="156"/>
      <c r="AK217" s="145"/>
    </row>
    <row r="218" spans="1:37" s="132" customFormat="1">
      <c r="A218" s="142">
        <v>2.1520000000000001</v>
      </c>
      <c r="B218" s="132" t="str">
        <f>Comp!B204</f>
        <v>MOTION PIC FILM+EQUIP</v>
      </c>
      <c r="C218" s="143">
        <f>SUM(C219)</f>
        <v>0</v>
      </c>
      <c r="D218" s="143">
        <f>SUM(D219)</f>
        <v>0</v>
      </c>
      <c r="E218" s="143">
        <f>SUM(E219)</f>
        <v>0</v>
      </c>
      <c r="F218" s="143">
        <f>SUM(F219)</f>
        <v>0</v>
      </c>
      <c r="G218" s="410"/>
      <c r="H218" s="410"/>
      <c r="I218" s="410"/>
      <c r="J218" s="410"/>
      <c r="K218" s="410"/>
      <c r="L218" s="410"/>
      <c r="M218" s="410"/>
      <c r="N218" s="410"/>
      <c r="O218" s="410"/>
      <c r="P218" s="143">
        <f t="shared" si="58"/>
        <v>1.9</v>
      </c>
      <c r="Q218" s="143">
        <f t="shared" si="58"/>
        <v>1.9</v>
      </c>
      <c r="S218" s="154">
        <f>SUMIF('Flt III'!D:D,A218,'Flt III'!E:E)/3.2808^2</f>
        <v>0</v>
      </c>
      <c r="T218" s="154">
        <f>SUMIF('Flt IIa'!A:A,A218,'Flt IIa'!E:E)/3.2808^2</f>
        <v>0</v>
      </c>
      <c r="U218" s="154">
        <f>SUMIF('OPC Des'!A:A,A218,'OPC Des'!F:F)/3.2808^2</f>
        <v>0</v>
      </c>
      <c r="V218" s="154">
        <f>SUMIF('LCS 5'!A:A,A218,'LCS 5'!E:E)</f>
        <v>0</v>
      </c>
      <c r="W218" s="154">
        <f>SUMIF('USCG Summary'!$A$25:$A$50,A218,'USCG Summary'!$D$25:$D$50)/3.2808^2</f>
        <v>0</v>
      </c>
      <c r="X218" s="154">
        <f>SUMIF('USCG Summary'!$A$25:$A$50,A218,'USCG Summary'!$I$25:$I$50)/3.2808^2</f>
        <v>0</v>
      </c>
      <c r="Y218" s="154">
        <f>SUMIF('USCG Summary'!$A$25:$A$50,A218,'USCG Summary'!$L$25:$L$50)/3.2808^2</f>
        <v>0</v>
      </c>
      <c r="Z218" s="154">
        <f>SUMIF('USCG Summary'!$A$25:$A$50,A218,'USCG Summary'!$O$25:$O$50)/3.2808^2</f>
        <v>0</v>
      </c>
      <c r="AA218" s="154">
        <f>SUMIF('USCG Summary'!$A$25:$A$50,A218,'USCG Summary'!$P$25:$P$50)/3.2808^2</f>
        <v>0</v>
      </c>
      <c r="AB218" s="154">
        <f>SUMIF('USCG Summary'!$A$25:$A$50,A218,'USCG Summary'!$Q$25:$Q$50)/3.2808^2</f>
        <v>0</v>
      </c>
      <c r="AC218" s="154">
        <f>SUMIF('USCG Summary'!$A$25:$A$50,A218,'USCG Summary'!$T$25:$T$50)/3.2808^2</f>
        <v>0</v>
      </c>
      <c r="AD218" s="154">
        <f>SUMIF('USCG Summary'!$A$25:$A$50,A218,'USCG Summary'!$W$25:$W$50)/3.2808^2</f>
        <v>0</v>
      </c>
      <c r="AE218" s="154">
        <f>SUMIF('USCG Summary'!$A$25:$A$50,A218,'USCG Summary'!$Z$25:$Z$50)/3.2808^2</f>
        <v>0</v>
      </c>
      <c r="AF218" s="154">
        <f>SUMIF(Comp!$A$75:$A$400,Areas!A218,Comp!$F$75:$F$400)</f>
        <v>1.9</v>
      </c>
      <c r="AG218" s="154">
        <f>SUMIF(Comp!$A$75:$A$400,Areas!A218,Comp!$G$75:$G$400)</f>
        <v>1.9</v>
      </c>
      <c r="AH218" s="154"/>
      <c r="AI218" s="154"/>
      <c r="AK218" s="143"/>
    </row>
    <row r="219" spans="1:37" s="141" customFormat="1">
      <c r="A219" s="144">
        <v>2.1520999999999999</v>
      </c>
      <c r="B219" s="141" t="str">
        <f>Comp!B205</f>
        <v>PROJECTION EQUIPMENT ROOM</v>
      </c>
      <c r="C219" s="145">
        <f t="shared" ref="C219:F219" si="69">S219</f>
        <v>0</v>
      </c>
      <c r="D219" s="145">
        <f t="shared" si="69"/>
        <v>0</v>
      </c>
      <c r="E219" s="145">
        <f t="shared" si="69"/>
        <v>0</v>
      </c>
      <c r="F219" s="145">
        <f t="shared" si="69"/>
        <v>0</v>
      </c>
      <c r="G219" s="412"/>
      <c r="H219" s="412"/>
      <c r="I219" s="412"/>
      <c r="J219" s="412"/>
      <c r="K219" s="412"/>
      <c r="L219" s="412"/>
      <c r="M219" s="412"/>
      <c r="N219" s="412"/>
      <c r="O219" s="412"/>
      <c r="P219" s="145">
        <f t="shared" si="58"/>
        <v>1.9</v>
      </c>
      <c r="Q219" s="145">
        <f t="shared" si="58"/>
        <v>1.9</v>
      </c>
      <c r="S219" s="156">
        <f>SUMIF('Flt III'!D:D,A219,'Flt III'!E:E)/3.2808^2</f>
        <v>0</v>
      </c>
      <c r="T219" s="156">
        <f>SUMIF('Flt IIa'!A:A,A219,'Flt IIa'!E:E)/3.2808^2</f>
        <v>0</v>
      </c>
      <c r="U219" s="156">
        <f>SUMIF('OPC Des'!A:A,A219,'OPC Des'!F:F)/3.2808^2</f>
        <v>0</v>
      </c>
      <c r="V219" s="156">
        <f>SUMIF('LCS 5'!A:A,A219,'LCS 5'!E:E)</f>
        <v>0</v>
      </c>
      <c r="W219" s="156">
        <f>SUMIF('USCG Summary'!$A$25:$A$50,A219,'USCG Summary'!$D$25:$D$50)/3.2808^2</f>
        <v>0</v>
      </c>
      <c r="X219" s="156">
        <f>SUMIF('USCG Summary'!$A$25:$A$50,A219,'USCG Summary'!$I$25:$I$50)/3.2808^2</f>
        <v>0</v>
      </c>
      <c r="Y219" s="156">
        <f>SUMIF('USCG Summary'!$A$25:$A$50,A219,'USCG Summary'!$L$25:$L$50)/3.2808^2</f>
        <v>0</v>
      </c>
      <c r="Z219" s="156">
        <f>SUMIF('USCG Summary'!$A$25:$A$50,A219,'USCG Summary'!$O$25:$O$50)/3.2808^2</f>
        <v>0</v>
      </c>
      <c r="AA219" s="156">
        <f>SUMIF('USCG Summary'!$A$25:$A$50,A219,'USCG Summary'!$P$25:$P$50)/3.2808^2</f>
        <v>0</v>
      </c>
      <c r="AB219" s="156">
        <f>SUMIF('USCG Summary'!$A$25:$A$50,A219,'USCG Summary'!$Q$25:$Q$50)/3.2808^2</f>
        <v>0</v>
      </c>
      <c r="AC219" s="156">
        <f>SUMIF('USCG Summary'!$A$25:$A$50,A219,'USCG Summary'!$T$25:$T$50)/3.2808^2</f>
        <v>0</v>
      </c>
      <c r="AD219" s="156">
        <f>SUMIF('USCG Summary'!$A$25:$A$50,A219,'USCG Summary'!$W$25:$W$50)/3.2808^2</f>
        <v>0</v>
      </c>
      <c r="AE219" s="156">
        <f>SUMIF('USCG Summary'!$A$25:$A$50,A219,'USCG Summary'!$Z$25:$Z$50)/3.2808^2</f>
        <v>0</v>
      </c>
      <c r="AF219" s="156">
        <f>SUMIF(Comp!$A$75:$A$400,Areas!A219,Comp!$F$75:$F$400)</f>
        <v>1.9</v>
      </c>
      <c r="AG219" s="156">
        <f>SUMIF(Comp!$A$75:$A$400,Areas!A219,Comp!$G$75:$G$400)</f>
        <v>1.9</v>
      </c>
      <c r="AH219" s="156"/>
      <c r="AI219" s="156"/>
      <c r="AK219" s="145"/>
    </row>
    <row r="220" spans="1:37" s="132" customFormat="1">
      <c r="A220" s="142">
        <v>2.153</v>
      </c>
      <c r="B220" s="132" t="str">
        <f>Comp!B206</f>
        <v>PHYSICAL FITNESS</v>
      </c>
      <c r="C220" s="143">
        <f>SUM(C221:C222)</f>
        <v>19.974639380276162</v>
      </c>
      <c r="D220" s="143">
        <f>T220</f>
        <v>32.609760104543874</v>
      </c>
      <c r="E220" s="143">
        <f>U220</f>
        <v>0</v>
      </c>
      <c r="F220" s="143">
        <f>V220</f>
        <v>0</v>
      </c>
      <c r="G220" s="410"/>
      <c r="H220" s="410"/>
      <c r="I220" s="410"/>
      <c r="J220" s="410"/>
      <c r="K220" s="410"/>
      <c r="L220" s="410"/>
      <c r="M220" s="410"/>
      <c r="N220" s="410"/>
      <c r="O220" s="410"/>
      <c r="P220" s="143">
        <f t="shared" si="58"/>
        <v>4.3</v>
      </c>
      <c r="Q220" s="143">
        <f t="shared" si="58"/>
        <v>4.3</v>
      </c>
      <c r="S220" s="154">
        <f>SUMIF('Flt III'!D:D,A220,'Flt III'!E:E)/3.2808^2</f>
        <v>0</v>
      </c>
      <c r="T220" s="154">
        <f>SUMIF('Flt IIa'!A:A,A220,'Flt IIa'!E:E)/3.2808^2</f>
        <v>32.609760104543874</v>
      </c>
      <c r="U220" s="154">
        <f>SUMIF('OPC Des'!A:A,A220,'OPC Des'!F:F)/3.2808^2</f>
        <v>0</v>
      </c>
      <c r="V220" s="154">
        <f>SUMIF('LCS 5'!A:A,A220,'LCS 5'!E:E)</f>
        <v>0</v>
      </c>
      <c r="W220" s="154">
        <f>SUMIF('USCG Summary'!$A$25:$A$50,A220,'USCG Summary'!$D$25:$D$50)/3.2808^2</f>
        <v>0</v>
      </c>
      <c r="X220" s="154">
        <f>SUMIF('USCG Summary'!$A$25:$A$50,A220,'USCG Summary'!$I$25:$I$50)/3.2808^2</f>
        <v>0</v>
      </c>
      <c r="Y220" s="154">
        <f>SUMIF('USCG Summary'!$A$25:$A$50,A220,'USCG Summary'!$L$25:$L$50)/3.2808^2</f>
        <v>0</v>
      </c>
      <c r="Z220" s="154">
        <f>SUMIF('USCG Summary'!$A$25:$A$50,A220,'USCG Summary'!$O$25:$O$50)/3.2808^2</f>
        <v>0</v>
      </c>
      <c r="AA220" s="154">
        <f>SUMIF('USCG Summary'!$A$25:$A$50,A220,'USCG Summary'!$P$25:$P$50)/3.2808^2</f>
        <v>0</v>
      </c>
      <c r="AB220" s="154">
        <f>SUMIF('USCG Summary'!$A$25:$A$50,A220,'USCG Summary'!$Q$25:$Q$50)/3.2808^2</f>
        <v>0</v>
      </c>
      <c r="AC220" s="154">
        <f>SUMIF('USCG Summary'!$A$25:$A$50,A220,'USCG Summary'!$T$25:$T$50)/3.2808^2</f>
        <v>0</v>
      </c>
      <c r="AD220" s="154">
        <f>SUMIF('USCG Summary'!$A$25:$A$50,A220,'USCG Summary'!$W$25:$W$50)/3.2808^2</f>
        <v>0</v>
      </c>
      <c r="AE220" s="154">
        <f>SUMIF('USCG Summary'!$A$25:$A$50,A220,'USCG Summary'!$Z$25:$Z$50)/3.2808^2</f>
        <v>0</v>
      </c>
      <c r="AF220" s="154">
        <f>SUMIF(Comp!$A$75:$A$400,Areas!A220,Comp!$F$75:$F$400)</f>
        <v>4.3</v>
      </c>
      <c r="AG220" s="154">
        <f>SUMIF(Comp!$A$75:$A$400,Areas!A220,Comp!$G$75:$G$400)</f>
        <v>4.3</v>
      </c>
      <c r="AH220" s="154"/>
      <c r="AI220" s="154"/>
      <c r="AK220" s="143"/>
    </row>
    <row r="221" spans="1:37" s="148" customFormat="1">
      <c r="A221" s="146">
        <v>2.153009</v>
      </c>
      <c r="C221" s="147">
        <f t="shared" ref="C221:F222" si="70">S221</f>
        <v>14.586132012573756</v>
      </c>
      <c r="D221" s="147">
        <f t="shared" si="70"/>
        <v>0</v>
      </c>
      <c r="E221" s="147">
        <f t="shared" si="70"/>
        <v>0</v>
      </c>
      <c r="F221" s="147">
        <f t="shared" si="70"/>
        <v>0</v>
      </c>
      <c r="G221" s="411"/>
      <c r="H221" s="411"/>
      <c r="I221" s="411"/>
      <c r="J221" s="411"/>
      <c r="K221" s="411"/>
      <c r="L221" s="411"/>
      <c r="M221" s="411"/>
      <c r="N221" s="411"/>
      <c r="O221" s="411"/>
      <c r="P221" s="147">
        <f t="shared" si="58"/>
        <v>0</v>
      </c>
      <c r="Q221" s="147">
        <f t="shared" si="58"/>
        <v>0</v>
      </c>
      <c r="S221" s="155">
        <f>SUMIF('Flt III'!D:D,A221,'Flt III'!E:E)/3.2808^2</f>
        <v>14.586132012573756</v>
      </c>
      <c r="T221" s="155">
        <f>SUMIF('Flt IIa'!A:A,A221,'Flt IIa'!E:E)/3.2808^2</f>
        <v>0</v>
      </c>
      <c r="U221" s="155">
        <f>SUMIF('OPC Des'!A:A,A221,'OPC Des'!F:F)/3.2808^2</f>
        <v>0</v>
      </c>
      <c r="V221" s="155">
        <f>SUMIF('LCS 5'!A:A,A221,'LCS 5'!E:E)</f>
        <v>0</v>
      </c>
      <c r="W221" s="155">
        <f>SUMIF('USCG Summary'!$A$25:$A$50,A221,'USCG Summary'!$D$25:$D$50)/3.2808^2</f>
        <v>0</v>
      </c>
      <c r="X221" s="155">
        <f>SUMIF('USCG Summary'!$A$25:$A$50,A221,'USCG Summary'!$I$25:$I$50)/3.2808^2</f>
        <v>0</v>
      </c>
      <c r="Y221" s="155">
        <f>SUMIF('USCG Summary'!$A$25:$A$50,A221,'USCG Summary'!$L$25:$L$50)/3.2808^2</f>
        <v>0</v>
      </c>
      <c r="Z221" s="155">
        <f>SUMIF('USCG Summary'!$A$25:$A$50,A221,'USCG Summary'!$O$25:$O$50)/3.2808^2</f>
        <v>0</v>
      </c>
      <c r="AA221" s="155">
        <f>SUMIF('USCG Summary'!$A$25:$A$50,A221,'USCG Summary'!$P$25:$P$50)/3.2808^2</f>
        <v>0</v>
      </c>
      <c r="AB221" s="155">
        <f>SUMIF('USCG Summary'!$A$25:$A$50,A221,'USCG Summary'!$Q$25:$Q$50)/3.2808^2</f>
        <v>0</v>
      </c>
      <c r="AC221" s="155">
        <f>SUMIF('USCG Summary'!$A$25:$A$50,A221,'USCG Summary'!$T$25:$T$50)/3.2808^2</f>
        <v>0</v>
      </c>
      <c r="AD221" s="155">
        <f>SUMIF('USCG Summary'!$A$25:$A$50,A221,'USCG Summary'!$W$25:$W$50)/3.2808^2</f>
        <v>0</v>
      </c>
      <c r="AE221" s="155">
        <f>SUMIF('USCG Summary'!$A$25:$A$50,A221,'USCG Summary'!$Z$25:$Z$50)/3.2808^2</f>
        <v>0</v>
      </c>
      <c r="AF221" s="155">
        <f>SUMIF(Comp!$A$75:$A$400,Areas!A221,Comp!$F$75:$F$400)</f>
        <v>0</v>
      </c>
      <c r="AG221" s="155">
        <f>SUMIF(Comp!$A$75:$A$400,Areas!A221,Comp!$G$75:$G$400)</f>
        <v>0</v>
      </c>
      <c r="AH221" s="155"/>
      <c r="AI221" s="155"/>
      <c r="AK221" s="147"/>
    </row>
    <row r="222" spans="1:37" s="148" customFormat="1">
      <c r="A222" s="146" t="s">
        <v>1108</v>
      </c>
      <c r="C222" s="147">
        <f t="shared" si="70"/>
        <v>5.3885073677024069</v>
      </c>
      <c r="D222" s="147">
        <f t="shared" si="70"/>
        <v>0</v>
      </c>
      <c r="E222" s="147">
        <f t="shared" si="70"/>
        <v>0</v>
      </c>
      <c r="F222" s="147">
        <f t="shared" si="70"/>
        <v>0</v>
      </c>
      <c r="G222" s="411"/>
      <c r="H222" s="411"/>
      <c r="I222" s="411"/>
      <c r="J222" s="411"/>
      <c r="K222" s="411"/>
      <c r="L222" s="411"/>
      <c r="M222" s="411"/>
      <c r="N222" s="411"/>
      <c r="O222" s="411"/>
      <c r="P222" s="147">
        <f t="shared" si="58"/>
        <v>0</v>
      </c>
      <c r="Q222" s="147">
        <f t="shared" si="58"/>
        <v>0</v>
      </c>
      <c r="S222" s="155">
        <f>SUMIF('Flt III'!D:D,A222,'Flt III'!E:E)/3.2808^2</f>
        <v>5.3885073677024069</v>
      </c>
      <c r="T222" s="155">
        <f>SUMIF('Flt IIa'!A:A,A222,'Flt IIa'!E:E)/3.2808^2</f>
        <v>0</v>
      </c>
      <c r="U222" s="155">
        <f>SUMIF('OPC Des'!A:A,A222,'OPC Des'!F:F)/3.2808^2</f>
        <v>0</v>
      </c>
      <c r="V222" s="155">
        <f>SUMIF('LCS 5'!A:A,A222,'LCS 5'!E:E)</f>
        <v>0</v>
      </c>
      <c r="W222" s="155">
        <f>SUMIF('USCG Summary'!$A$25:$A$50,A222,'USCG Summary'!$D$25:$D$50)/3.2808^2</f>
        <v>0</v>
      </c>
      <c r="X222" s="155">
        <f>SUMIF('USCG Summary'!$A$25:$A$50,A222,'USCG Summary'!$I$25:$I$50)/3.2808^2</f>
        <v>0</v>
      </c>
      <c r="Y222" s="155">
        <f>SUMIF('USCG Summary'!$A$25:$A$50,A222,'USCG Summary'!$L$25:$L$50)/3.2808^2</f>
        <v>0</v>
      </c>
      <c r="Z222" s="155">
        <f>SUMIF('USCG Summary'!$A$25:$A$50,A222,'USCG Summary'!$O$25:$O$50)/3.2808^2</f>
        <v>0</v>
      </c>
      <c r="AA222" s="155">
        <f>SUMIF('USCG Summary'!$A$25:$A$50,A222,'USCG Summary'!$P$25:$P$50)/3.2808^2</f>
        <v>0</v>
      </c>
      <c r="AB222" s="155">
        <f>SUMIF('USCG Summary'!$A$25:$A$50,A222,'USCG Summary'!$Q$25:$Q$50)/3.2808^2</f>
        <v>0</v>
      </c>
      <c r="AC222" s="155">
        <f>SUMIF('USCG Summary'!$A$25:$A$50,A222,'USCG Summary'!$T$25:$T$50)/3.2808^2</f>
        <v>0</v>
      </c>
      <c r="AD222" s="155">
        <f>SUMIF('USCG Summary'!$A$25:$A$50,A222,'USCG Summary'!$W$25:$W$50)/3.2808^2</f>
        <v>0</v>
      </c>
      <c r="AE222" s="155">
        <f>SUMIF('USCG Summary'!$A$25:$A$50,A222,'USCG Summary'!$Z$25:$Z$50)/3.2808^2</f>
        <v>0</v>
      </c>
      <c r="AF222" s="155">
        <f>SUMIF(Comp!$A$75:$A$400,Areas!A222,Comp!$F$75:$F$400)</f>
        <v>0</v>
      </c>
      <c r="AG222" s="155">
        <f>SUMIF(Comp!$A$75:$A$400,Areas!A222,Comp!$G$75:$G$400)</f>
        <v>0</v>
      </c>
      <c r="AH222" s="155"/>
      <c r="AI222" s="155"/>
      <c r="AK222" s="147"/>
    </row>
    <row r="223" spans="1:37" s="141" customFormat="1">
      <c r="A223" s="144">
        <v>2.1532</v>
      </c>
      <c r="B223" s="141" t="str">
        <f>Comp!B207</f>
        <v>ATHLETIC GEAR STRM</v>
      </c>
      <c r="C223" s="145">
        <f t="shared" ref="C223:F224" si="71">S223</f>
        <v>0</v>
      </c>
      <c r="D223" s="145">
        <f t="shared" si="71"/>
        <v>0</v>
      </c>
      <c r="E223" s="145">
        <f t="shared" si="71"/>
        <v>0</v>
      </c>
      <c r="F223" s="145">
        <f t="shared" si="71"/>
        <v>0</v>
      </c>
      <c r="G223" s="412"/>
      <c r="H223" s="412"/>
      <c r="I223" s="412"/>
      <c r="J223" s="412"/>
      <c r="K223" s="412"/>
      <c r="L223" s="412"/>
      <c r="M223" s="412"/>
      <c r="N223" s="412"/>
      <c r="O223" s="412"/>
      <c r="P223" s="145">
        <f t="shared" si="58"/>
        <v>4.3</v>
      </c>
      <c r="Q223" s="145">
        <f t="shared" si="58"/>
        <v>4.3</v>
      </c>
      <c r="S223" s="156">
        <f>SUMIF('Flt III'!D:D,A223,'Flt III'!E:E)/3.2808^2</f>
        <v>0</v>
      </c>
      <c r="T223" s="156">
        <f>SUMIF('Flt IIa'!A:A,A223,'Flt IIa'!E:E)/3.2808^2</f>
        <v>0</v>
      </c>
      <c r="U223" s="156">
        <f>SUMIF('OPC Des'!A:A,A223,'OPC Des'!F:F)/3.2808^2</f>
        <v>0</v>
      </c>
      <c r="V223" s="156">
        <f>SUMIF('LCS 5'!A:A,A223,'LCS 5'!E:E)</f>
        <v>0</v>
      </c>
      <c r="W223" s="156">
        <f>SUMIF('USCG Summary'!$A$25:$A$50,A223,'USCG Summary'!$D$25:$D$50)/3.2808^2</f>
        <v>0</v>
      </c>
      <c r="X223" s="156">
        <f>SUMIF('USCG Summary'!$A$25:$A$50,A223,'USCG Summary'!$I$25:$I$50)/3.2808^2</f>
        <v>0</v>
      </c>
      <c r="Y223" s="156">
        <f>SUMIF('USCG Summary'!$A$25:$A$50,A223,'USCG Summary'!$L$25:$L$50)/3.2808^2</f>
        <v>0</v>
      </c>
      <c r="Z223" s="156">
        <f>SUMIF('USCG Summary'!$A$25:$A$50,A223,'USCG Summary'!$O$25:$O$50)/3.2808^2</f>
        <v>0</v>
      </c>
      <c r="AA223" s="156">
        <f>SUMIF('USCG Summary'!$A$25:$A$50,A223,'USCG Summary'!$P$25:$P$50)/3.2808^2</f>
        <v>0</v>
      </c>
      <c r="AB223" s="156">
        <f>SUMIF('USCG Summary'!$A$25:$A$50,A223,'USCG Summary'!$Q$25:$Q$50)/3.2808^2</f>
        <v>0</v>
      </c>
      <c r="AC223" s="156">
        <f>SUMIF('USCG Summary'!$A$25:$A$50,A223,'USCG Summary'!$T$25:$T$50)/3.2808^2</f>
        <v>0</v>
      </c>
      <c r="AD223" s="156">
        <f>SUMIF('USCG Summary'!$A$25:$A$50,A223,'USCG Summary'!$W$25:$W$50)/3.2808^2</f>
        <v>0</v>
      </c>
      <c r="AE223" s="156">
        <f>SUMIF('USCG Summary'!$A$25:$A$50,A223,'USCG Summary'!$Z$25:$Z$50)/3.2808^2</f>
        <v>0</v>
      </c>
      <c r="AF223" s="156">
        <f>SUMIF(Comp!$A$75:$A$400,Areas!A223,Comp!$F$75:$F$400)</f>
        <v>4.3</v>
      </c>
      <c r="AG223" s="156">
        <f>SUMIF(Comp!$A$75:$A$400,Areas!A223,Comp!$G$75:$G$400)</f>
        <v>4.3</v>
      </c>
      <c r="AH223" s="156"/>
      <c r="AI223" s="156"/>
      <c r="AK223" s="145"/>
    </row>
    <row r="224" spans="1:37" s="132" customFormat="1">
      <c r="A224" s="142">
        <v>2.1539999999999999</v>
      </c>
      <c r="B224" s="132" t="str">
        <f>Comp!B208</f>
        <v>TV ROOM</v>
      </c>
      <c r="C224" s="143">
        <f t="shared" si="71"/>
        <v>0</v>
      </c>
      <c r="D224" s="143">
        <f t="shared" si="71"/>
        <v>0</v>
      </c>
      <c r="E224" s="143">
        <f t="shared" si="71"/>
        <v>0</v>
      </c>
      <c r="F224" s="143">
        <f t="shared" si="71"/>
        <v>0</v>
      </c>
      <c r="G224" s="410"/>
      <c r="H224" s="410"/>
      <c r="I224" s="410"/>
      <c r="J224" s="410"/>
      <c r="K224" s="410"/>
      <c r="L224" s="410"/>
      <c r="M224" s="410"/>
      <c r="N224" s="410"/>
      <c r="O224" s="410"/>
      <c r="P224" s="143">
        <f t="shared" si="58"/>
        <v>0</v>
      </c>
      <c r="Q224" s="143">
        <f t="shared" si="58"/>
        <v>0</v>
      </c>
      <c r="S224" s="154">
        <f>SUMIF('Flt III'!D:D,A224,'Flt III'!E:E)/3.2808^2</f>
        <v>0</v>
      </c>
      <c r="T224" s="154">
        <f>SUMIF('Flt IIa'!A:A,A224,'Flt IIa'!E:E)/3.2808^2</f>
        <v>0</v>
      </c>
      <c r="U224" s="154">
        <f>SUMIF('OPC Des'!A:A,A224,'OPC Des'!F:F)/3.2808^2</f>
        <v>0</v>
      </c>
      <c r="V224" s="154">
        <f>SUMIF('LCS 5'!A:A,A224,'LCS 5'!E:E)</f>
        <v>0</v>
      </c>
      <c r="W224" s="154">
        <f>SUMIF('USCG Summary'!$A$25:$A$50,A224,'USCG Summary'!$D$25:$D$50)/3.2808^2</f>
        <v>0</v>
      </c>
      <c r="X224" s="154">
        <f>SUMIF('USCG Summary'!$A$25:$A$50,A224,'USCG Summary'!$I$25:$I$50)/3.2808^2</f>
        <v>0</v>
      </c>
      <c r="Y224" s="154">
        <f>SUMIF('USCG Summary'!$A$25:$A$50,A224,'USCG Summary'!$L$25:$L$50)/3.2808^2</f>
        <v>0</v>
      </c>
      <c r="Z224" s="154">
        <f>SUMIF('USCG Summary'!$A$25:$A$50,A224,'USCG Summary'!$O$25:$O$50)/3.2808^2</f>
        <v>0</v>
      </c>
      <c r="AA224" s="154">
        <f>SUMIF('USCG Summary'!$A$25:$A$50,A224,'USCG Summary'!$P$25:$P$50)/3.2808^2</f>
        <v>0</v>
      </c>
      <c r="AB224" s="154">
        <f>SUMIF('USCG Summary'!$A$25:$A$50,A224,'USCG Summary'!$Q$25:$Q$50)/3.2808^2</f>
        <v>0</v>
      </c>
      <c r="AC224" s="154">
        <f>SUMIF('USCG Summary'!$A$25:$A$50,A224,'USCG Summary'!$T$25:$T$50)/3.2808^2</f>
        <v>0</v>
      </c>
      <c r="AD224" s="154">
        <f>SUMIF('USCG Summary'!$A$25:$A$50,A224,'USCG Summary'!$W$25:$W$50)/3.2808^2</f>
        <v>0</v>
      </c>
      <c r="AE224" s="154">
        <f>SUMIF('USCG Summary'!$A$25:$A$50,A224,'USCG Summary'!$Z$25:$Z$50)/3.2808^2</f>
        <v>0</v>
      </c>
      <c r="AF224" s="154">
        <f>SUMIF(Comp!$A$75:$A$400,Areas!A224,Comp!$F$75:$F$400)</f>
        <v>0</v>
      </c>
      <c r="AG224" s="154">
        <f>SUMIF(Comp!$A$75:$A$400,Areas!A224,Comp!$G$75:$G$400)</f>
        <v>0</v>
      </c>
      <c r="AH224" s="154"/>
      <c r="AI224" s="154"/>
      <c r="AK224" s="143"/>
    </row>
    <row r="225" spans="1:37" s="134" customFormat="1">
      <c r="A225" s="140">
        <v>2.16</v>
      </c>
      <c r="B225" s="134" t="str">
        <f>Comp!B209</f>
        <v>TRAINING</v>
      </c>
      <c r="C225" s="149">
        <f>C226+C227</f>
        <v>23.969567256331395</v>
      </c>
      <c r="D225" s="149">
        <f>D226+D227</f>
        <v>0</v>
      </c>
      <c r="E225" s="149">
        <f>E226+E227</f>
        <v>48.775282207651095</v>
      </c>
      <c r="F225" s="149">
        <f>F226+F227</f>
        <v>0</v>
      </c>
      <c r="G225" s="409"/>
      <c r="H225" s="409"/>
      <c r="I225" s="409"/>
      <c r="J225" s="409"/>
      <c r="K225" s="409"/>
      <c r="L225" s="409"/>
      <c r="M225" s="409"/>
      <c r="N225" s="409"/>
      <c r="O225" s="409"/>
      <c r="P225" s="149">
        <f t="shared" si="58"/>
        <v>3.2</v>
      </c>
      <c r="Q225" s="149">
        <f t="shared" si="58"/>
        <v>3.2</v>
      </c>
      <c r="S225" s="153">
        <f>SUMIF('Flt III'!D:D,A225,'Flt III'!E:E)/3.2808^2</f>
        <v>0</v>
      </c>
      <c r="T225" s="153">
        <f>SUMIF('Flt IIa'!A:A,A225,'Flt IIa'!E:E)/3.2808^2</f>
        <v>0</v>
      </c>
      <c r="U225" s="153">
        <f>SUMIF('OPC Des'!A:A,A225,'OPC Des'!F:F)/3.2808^2</f>
        <v>0</v>
      </c>
      <c r="V225" s="153">
        <f>SUMIF('LCS 5'!A:A,A225,'LCS 5'!E:E)</f>
        <v>0</v>
      </c>
      <c r="W225" s="153">
        <f>SUMIF('USCG Summary'!$A$25:$A$50,A225,'USCG Summary'!$D$25:$D$50)/3.2808^2</f>
        <v>0</v>
      </c>
      <c r="X225" s="153">
        <f>SUMIF('USCG Summary'!$A$25:$A$50,A225,'USCG Summary'!$I$25:$I$50)/3.2808^2</f>
        <v>0</v>
      </c>
      <c r="Y225" s="153">
        <f>SUMIF('USCG Summary'!$A$25:$A$50,A225,'USCG Summary'!$L$25:$L$50)/3.2808^2</f>
        <v>0</v>
      </c>
      <c r="Z225" s="153">
        <f>SUMIF('USCG Summary'!$A$25:$A$50,A225,'USCG Summary'!$O$25:$O$50)/3.2808^2</f>
        <v>0</v>
      </c>
      <c r="AA225" s="153">
        <f>SUMIF('USCG Summary'!$A$25:$A$50,A225,'USCG Summary'!$P$25:$P$50)/3.2808^2</f>
        <v>0</v>
      </c>
      <c r="AB225" s="153">
        <f>SUMIF('USCG Summary'!$A$25:$A$50,A225,'USCG Summary'!$Q$25:$Q$50)/3.2808^2</f>
        <v>0</v>
      </c>
      <c r="AC225" s="153">
        <f>SUMIF('USCG Summary'!$A$25:$A$50,A225,'USCG Summary'!$T$25:$T$50)/3.2808^2</f>
        <v>0</v>
      </c>
      <c r="AD225" s="153">
        <f>SUMIF('USCG Summary'!$A$25:$A$50,A225,'USCG Summary'!$W$25:$W$50)/3.2808^2</f>
        <v>0</v>
      </c>
      <c r="AE225" s="153">
        <f>SUMIF('USCG Summary'!$A$25:$A$50,A225,'USCG Summary'!$Z$25:$Z$50)/3.2808^2</f>
        <v>0</v>
      </c>
      <c r="AF225" s="153">
        <f>SUMIF(Comp!$A$75:$A$400,Areas!A225,Comp!$F$75:$F$400)</f>
        <v>3.2</v>
      </c>
      <c r="AG225" s="153">
        <f>SUMIF(Comp!$A$75:$A$400,Areas!A225,Comp!$G$75:$G$400)</f>
        <v>3.2</v>
      </c>
      <c r="AH225" s="153"/>
      <c r="AI225" s="153"/>
      <c r="AK225" s="133"/>
    </row>
    <row r="226" spans="1:37" s="148" customFormat="1">
      <c r="A226" s="146" t="s">
        <v>1105</v>
      </c>
      <c r="C226" s="147">
        <f t="shared" ref="C226:F226" si="72">S226</f>
        <v>23.969567256331395</v>
      </c>
      <c r="D226" s="147">
        <f t="shared" si="72"/>
        <v>0</v>
      </c>
      <c r="E226" s="147">
        <f t="shared" si="72"/>
        <v>48.775282207651095</v>
      </c>
      <c r="F226" s="147">
        <f t="shared" si="72"/>
        <v>0</v>
      </c>
      <c r="G226" s="411"/>
      <c r="H226" s="411"/>
      <c r="I226" s="411"/>
      <c r="J226" s="411"/>
      <c r="K226" s="411"/>
      <c r="L226" s="411"/>
      <c r="M226" s="411"/>
      <c r="N226" s="411"/>
      <c r="O226" s="411"/>
      <c r="P226" s="147">
        <f t="shared" si="58"/>
        <v>0</v>
      </c>
      <c r="Q226" s="147">
        <f t="shared" si="58"/>
        <v>0</v>
      </c>
      <c r="S226" s="155">
        <f>SUMIF('Flt III'!D:D,A226,'Flt III'!E:E)/3.2808^2</f>
        <v>23.969567256331395</v>
      </c>
      <c r="T226" s="155">
        <f>SUMIF('Flt IIa'!A:A,A226,'Flt IIa'!E:E)/3.2808^2</f>
        <v>0</v>
      </c>
      <c r="U226" s="155">
        <f>SUMIF('OPC Des'!A:A,A226,'OPC Des'!F:F)/3.2808^2</f>
        <v>48.775282207651095</v>
      </c>
      <c r="V226" s="155">
        <f>SUMIF('LCS 5'!A:A,A226,'LCS 5'!E:E)</f>
        <v>0</v>
      </c>
      <c r="W226" s="155">
        <f>SUMIF('USCG Summary'!$A$25:$A$50,A226,'USCG Summary'!$D$25:$D$50)/3.2808^2</f>
        <v>0</v>
      </c>
      <c r="X226" s="155">
        <f>SUMIF('USCG Summary'!$A$25:$A$50,A226,'USCG Summary'!$I$25:$I$50)/3.2808^2</f>
        <v>0</v>
      </c>
      <c r="Y226" s="155">
        <f>SUMIF('USCG Summary'!$A$25:$A$50,A226,'USCG Summary'!$L$25:$L$50)/3.2808^2</f>
        <v>0</v>
      </c>
      <c r="Z226" s="155">
        <f>SUMIF('USCG Summary'!$A$25:$A$50,A226,'USCG Summary'!$O$25:$O$50)/3.2808^2</f>
        <v>0</v>
      </c>
      <c r="AA226" s="155">
        <f>SUMIF('USCG Summary'!$A$25:$A$50,A226,'USCG Summary'!$P$25:$P$50)/3.2808^2</f>
        <v>0</v>
      </c>
      <c r="AB226" s="155">
        <f>SUMIF('USCG Summary'!$A$25:$A$50,A226,'USCG Summary'!$Q$25:$Q$50)/3.2808^2</f>
        <v>0</v>
      </c>
      <c r="AC226" s="155">
        <f>SUMIF('USCG Summary'!$A$25:$A$50,A226,'USCG Summary'!$T$25:$T$50)/3.2808^2</f>
        <v>0</v>
      </c>
      <c r="AD226" s="155">
        <f>SUMIF('USCG Summary'!$A$25:$A$50,A226,'USCG Summary'!$W$25:$W$50)/3.2808^2</f>
        <v>0</v>
      </c>
      <c r="AE226" s="155">
        <f>SUMIF('USCG Summary'!$A$25:$A$50,A226,'USCG Summary'!$Z$25:$Z$50)/3.2808^2</f>
        <v>0</v>
      </c>
      <c r="AF226" s="155">
        <f>SUMIF(Comp!$A$75:$A$400,Areas!A226,Comp!$F$75:$F$400)</f>
        <v>0</v>
      </c>
      <c r="AG226" s="155">
        <f>SUMIF(Comp!$A$75:$A$400,Areas!A226,Comp!$G$75:$G$400)</f>
        <v>0</v>
      </c>
      <c r="AH226" s="155"/>
      <c r="AI226" s="155"/>
      <c r="AK226" s="147"/>
    </row>
    <row r="227" spans="1:37" s="132" customFormat="1">
      <c r="A227" s="142">
        <v>2.1619999999999999</v>
      </c>
      <c r="B227" s="132" t="str">
        <f>Comp!B210</f>
        <v>RECOGNITION TRAINING LKR</v>
      </c>
      <c r="C227" s="143">
        <f>S227</f>
        <v>0</v>
      </c>
      <c r="D227" s="143">
        <f>T227</f>
        <v>0</v>
      </c>
      <c r="E227" s="143">
        <f>U227</f>
        <v>0</v>
      </c>
      <c r="F227" s="143">
        <f>V227</f>
        <v>0</v>
      </c>
      <c r="G227" s="410"/>
      <c r="H227" s="410"/>
      <c r="I227" s="410"/>
      <c r="J227" s="410"/>
      <c r="K227" s="410"/>
      <c r="L227" s="410"/>
      <c r="M227" s="410"/>
      <c r="N227" s="410"/>
      <c r="O227" s="410"/>
      <c r="P227" s="143">
        <f t="shared" si="58"/>
        <v>3.2</v>
      </c>
      <c r="Q227" s="143">
        <f t="shared" si="58"/>
        <v>3.2</v>
      </c>
      <c r="S227" s="154">
        <f>SUMIF('Flt III'!D:D,A227,'Flt III'!E:E)/3.2808^2</f>
        <v>0</v>
      </c>
      <c r="T227" s="154">
        <f>SUMIF('Flt IIa'!A:A,A227,'Flt IIa'!E:E)/3.2808^2</f>
        <v>0</v>
      </c>
      <c r="U227" s="154">
        <f>SUMIF('OPC Des'!A:A,A227,'OPC Des'!F:F)/3.2808^2</f>
        <v>0</v>
      </c>
      <c r="V227" s="154">
        <f>SUMIF('LCS 5'!A:A,A227,'LCS 5'!E:E)</f>
        <v>0</v>
      </c>
      <c r="W227" s="154">
        <f>SUMIF('USCG Summary'!$A$25:$A$50,A227,'USCG Summary'!$D$25:$D$50)/3.2808^2</f>
        <v>0</v>
      </c>
      <c r="X227" s="154">
        <f>SUMIF('USCG Summary'!$A$25:$A$50,A227,'USCG Summary'!$I$25:$I$50)/3.2808^2</f>
        <v>0</v>
      </c>
      <c r="Y227" s="154">
        <f>SUMIF('USCG Summary'!$A$25:$A$50,A227,'USCG Summary'!$L$25:$L$50)/3.2808^2</f>
        <v>0</v>
      </c>
      <c r="Z227" s="154">
        <f>SUMIF('USCG Summary'!$A$25:$A$50,A227,'USCG Summary'!$O$25:$O$50)/3.2808^2</f>
        <v>0</v>
      </c>
      <c r="AA227" s="154">
        <f>SUMIF('USCG Summary'!$A$25:$A$50,A227,'USCG Summary'!$P$25:$P$50)/3.2808^2</f>
        <v>0</v>
      </c>
      <c r="AB227" s="154">
        <f>SUMIF('USCG Summary'!$A$25:$A$50,A227,'USCG Summary'!$Q$25:$Q$50)/3.2808^2</f>
        <v>0</v>
      </c>
      <c r="AC227" s="154">
        <f>SUMIF('USCG Summary'!$A$25:$A$50,A227,'USCG Summary'!$T$25:$T$50)/3.2808^2</f>
        <v>0</v>
      </c>
      <c r="AD227" s="154">
        <f>SUMIF('USCG Summary'!$A$25:$A$50,A227,'USCG Summary'!$W$25:$W$50)/3.2808^2</f>
        <v>0</v>
      </c>
      <c r="AE227" s="154">
        <f>SUMIF('USCG Summary'!$A$25:$A$50,A227,'USCG Summary'!$Z$25:$Z$50)/3.2808^2</f>
        <v>0</v>
      </c>
      <c r="AF227" s="154">
        <f>SUMIF(Comp!$A$75:$A$400,Areas!A227,Comp!$F$75:$F$400)</f>
        <v>3.2</v>
      </c>
      <c r="AG227" s="154">
        <f>SUMIF(Comp!$A$75:$A$400,Areas!A227,Comp!$G$75:$G$400)</f>
        <v>3.2</v>
      </c>
      <c r="AH227" s="154"/>
      <c r="AI227" s="154"/>
      <c r="AK227" s="143"/>
    </row>
    <row r="228" spans="1:37" s="139" customFormat="1">
      <c r="A228" s="137">
        <v>2.2000000000000002</v>
      </c>
      <c r="B228" s="139" t="str">
        <f>Comp!B211</f>
        <v>COMMISSARY</v>
      </c>
      <c r="C228" s="150">
        <f>C229+C243+C259</f>
        <v>394.29009083670724</v>
      </c>
      <c r="D228" s="150">
        <f>D229+D243+D259</f>
        <v>394.29009083670724</v>
      </c>
      <c r="E228" s="150">
        <f>E229+E243+E259</f>
        <v>141.40186575246662</v>
      </c>
      <c r="F228" s="150">
        <f>F229+F243+F259</f>
        <v>128.47</v>
      </c>
      <c r="G228" s="406">
        <f>W228</f>
        <v>0</v>
      </c>
      <c r="H228" s="406">
        <f t="shared" ref="H228:O228" si="73">X228</f>
        <v>24.945072900484419</v>
      </c>
      <c r="I228" s="406">
        <f t="shared" si="73"/>
        <v>17.048122447817097</v>
      </c>
      <c r="J228" s="406">
        <f t="shared" si="73"/>
        <v>21.739840069695919</v>
      </c>
      <c r="K228" s="406">
        <f t="shared" si="73"/>
        <v>5.202696768816117</v>
      </c>
      <c r="L228" s="406">
        <f t="shared" si="73"/>
        <v>12.356404825938277</v>
      </c>
      <c r="M228" s="406">
        <f t="shared" si="73"/>
        <v>83.289600950779445</v>
      </c>
      <c r="N228" s="406">
        <f t="shared" si="73"/>
        <v>132.52940965564628</v>
      </c>
      <c r="O228" s="406">
        <f t="shared" si="73"/>
        <v>214.42543111477855</v>
      </c>
      <c r="P228" s="150">
        <f t="shared" si="58"/>
        <v>529.6</v>
      </c>
      <c r="Q228" s="150">
        <f t="shared" si="58"/>
        <v>529.6</v>
      </c>
      <c r="S228" s="152">
        <f>SUMIF('Flt III'!D:D,A228,'Flt III'!E:E)/3.2808^2</f>
        <v>0</v>
      </c>
      <c r="T228" s="152">
        <f>SUMIF('Flt IIa'!A:A,A228,'Flt IIa'!E:E)/3.2808^2</f>
        <v>0</v>
      </c>
      <c r="U228" s="152">
        <f>SUMIF('OPC Des'!A:A,A228,'OPC Des'!F:F)/3.2808^2</f>
        <v>0</v>
      </c>
      <c r="V228" s="152">
        <f>SUMIF('LCS 5'!A:A,A228,'LCS 5'!E:E)</f>
        <v>0</v>
      </c>
      <c r="W228" s="152">
        <f>SUMIF('USCG Summary'!$A$25:$A$50,A228,'USCG Summary'!$D$25:$D$50)/3.2808^2</f>
        <v>0</v>
      </c>
      <c r="X228" s="152">
        <f>SUMIF('USCG Summary'!$A$25:$A$50,A228,'USCG Summary'!$I$25:$I$50)/3.2808^2</f>
        <v>24.945072900484419</v>
      </c>
      <c r="Y228" s="152">
        <f>SUMIF('USCG Summary'!$A$25:$A$50,A228,'USCG Summary'!$L$25:$L$50)/3.2808^2</f>
        <v>17.048122447817097</v>
      </c>
      <c r="Z228" s="152">
        <f>SUMIF('USCG Summary'!$A$25:$A$50,A228,'USCG Summary'!$O$25:$O$50)/3.2808^2</f>
        <v>21.739840069695919</v>
      </c>
      <c r="AA228" s="152">
        <f>SUMIF('USCG Summary'!$A$25:$A$50,A228,'USCG Summary'!$P$25:$P$50)/3.2808^2</f>
        <v>5.202696768816117</v>
      </c>
      <c r="AB228" s="152">
        <f>SUMIF('USCG Summary'!$A$25:$A$50,A228,'USCG Summary'!$Q$25:$Q$50)/3.2808^2</f>
        <v>12.356404825938277</v>
      </c>
      <c r="AC228" s="152">
        <f>SUMIF('USCG Summary'!$A$25:$A$50,A228,'USCG Summary'!$T$25:$T$50)/3.2808^2</f>
        <v>83.289600950779445</v>
      </c>
      <c r="AD228" s="152">
        <f>SUMIF('USCG Summary'!$A$25:$A$50,A228,'USCG Summary'!$W$25:$W$50)/3.2808^2</f>
        <v>132.52940965564628</v>
      </c>
      <c r="AE228" s="152">
        <f>SUMIF('USCG Summary'!$A$25:$A$50,A228,'USCG Summary'!$Z$25:$Z$50)/3.2808^2</f>
        <v>214.42543111477855</v>
      </c>
      <c r="AF228" s="152">
        <f>SUMIF(Comp!$A$75:$A$400,Areas!A228,Comp!$F$75:$F$400)</f>
        <v>529.6</v>
      </c>
      <c r="AG228" s="152">
        <f>SUMIF(Comp!$A$75:$A$400,Areas!A228,Comp!$G$75:$G$400)</f>
        <v>529.6</v>
      </c>
      <c r="AH228" s="152"/>
      <c r="AI228" s="152"/>
      <c r="AK228" s="138"/>
    </row>
    <row r="229" spans="1:37" s="134" customFormat="1">
      <c r="A229" s="140">
        <v>2.21</v>
      </c>
      <c r="B229" s="134" t="str">
        <f>Comp!B212</f>
        <v>FOOD SERVICE</v>
      </c>
      <c r="C229" s="149">
        <f>C230+C233+C236+C240+C242</f>
        <v>193.80045463840037</v>
      </c>
      <c r="D229" s="149">
        <f>D230+D233+D236+D240+D242</f>
        <v>193.80045463840037</v>
      </c>
      <c r="E229" s="149">
        <f>E230+E233+E236+E240+E242</f>
        <v>100.98806049469856</v>
      </c>
      <c r="F229" s="149">
        <f>F230+F233+F236+F240+F242</f>
        <v>79.36</v>
      </c>
      <c r="G229" s="409"/>
      <c r="H229" s="409"/>
      <c r="I229" s="409"/>
      <c r="J229" s="409"/>
      <c r="K229" s="409"/>
      <c r="L229" s="409"/>
      <c r="M229" s="409"/>
      <c r="N229" s="409"/>
      <c r="O229" s="409"/>
      <c r="P229" s="149">
        <f t="shared" si="58"/>
        <v>300.8</v>
      </c>
      <c r="Q229" s="149">
        <f t="shared" si="58"/>
        <v>300.8</v>
      </c>
      <c r="S229" s="153">
        <f>SUMIF('Flt III'!D:D,A229,'Flt III'!E:E)/3.2808^2</f>
        <v>0</v>
      </c>
      <c r="T229" s="153">
        <f>SUMIF('Flt IIa'!A:A,A229,'Flt IIa'!E:E)/3.2808^2</f>
        <v>0</v>
      </c>
      <c r="U229" s="153">
        <f>SUMIF('OPC Des'!A:A,A229,'OPC Des'!F:F)/3.2808^2</f>
        <v>0</v>
      </c>
      <c r="V229" s="153">
        <f>SUMIF('LCS 5'!A:A,A229,'LCS 5'!E:E)</f>
        <v>0</v>
      </c>
      <c r="W229" s="153">
        <f>SUMIF('USCG Summary'!$A$25:$A$50,A229,'USCG Summary'!$D$25:$D$50)/3.2808^2</f>
        <v>0</v>
      </c>
      <c r="X229" s="153">
        <f>SUMIF('USCG Summary'!$A$25:$A$50,A229,'USCG Summary'!$I$25:$I$50)/3.2808^2</f>
        <v>0</v>
      </c>
      <c r="Y229" s="153">
        <f>SUMIF('USCG Summary'!$A$25:$A$50,A229,'USCG Summary'!$L$25:$L$50)/3.2808^2</f>
        <v>0</v>
      </c>
      <c r="Z229" s="153">
        <f>SUMIF('USCG Summary'!$A$25:$A$50,A229,'USCG Summary'!$O$25:$O$50)/3.2808^2</f>
        <v>0</v>
      </c>
      <c r="AA229" s="153">
        <f>SUMIF('USCG Summary'!$A$25:$A$50,A229,'USCG Summary'!$P$25:$P$50)/3.2808^2</f>
        <v>0</v>
      </c>
      <c r="AB229" s="153">
        <f>SUMIF('USCG Summary'!$A$25:$A$50,A229,'USCG Summary'!$Q$25:$Q$50)/3.2808^2</f>
        <v>0</v>
      </c>
      <c r="AC229" s="153">
        <f>SUMIF('USCG Summary'!$A$25:$A$50,A229,'USCG Summary'!$T$25:$T$50)/3.2808^2</f>
        <v>0</v>
      </c>
      <c r="AD229" s="153">
        <f>SUMIF('USCG Summary'!$A$25:$A$50,A229,'USCG Summary'!$W$25:$W$50)/3.2808^2</f>
        <v>0</v>
      </c>
      <c r="AE229" s="153">
        <f>SUMIF('USCG Summary'!$A$25:$A$50,A229,'USCG Summary'!$Z$25:$Z$50)/3.2808^2</f>
        <v>0</v>
      </c>
      <c r="AF229" s="153">
        <f>SUMIF(Comp!$A$75:$A$400,Areas!A229,Comp!$F$75:$F$400)</f>
        <v>300.8</v>
      </c>
      <c r="AG229" s="153">
        <f>SUMIF(Comp!$A$75:$A$400,Areas!A229,Comp!$G$75:$G$400)</f>
        <v>300.8</v>
      </c>
      <c r="AH229" s="153"/>
      <c r="AI229" s="153"/>
      <c r="AK229" s="133"/>
    </row>
    <row r="230" spans="1:37" s="132" customFormat="1">
      <c r="A230" s="142">
        <v>2.2109999999999999</v>
      </c>
      <c r="B230" s="132" t="str">
        <f>Comp!B213</f>
        <v>OFFICER</v>
      </c>
      <c r="C230" s="143">
        <f>SUM(C231)</f>
        <v>46.452649721572477</v>
      </c>
      <c r="D230" s="143">
        <f>T230</f>
        <v>46.452649721572477</v>
      </c>
      <c r="E230" s="143">
        <f>U230</f>
        <v>0</v>
      </c>
      <c r="F230" s="143">
        <f>V230</f>
        <v>0</v>
      </c>
      <c r="G230" s="410"/>
      <c r="H230" s="410"/>
      <c r="I230" s="410"/>
      <c r="J230" s="410"/>
      <c r="K230" s="410"/>
      <c r="L230" s="410"/>
      <c r="M230" s="410"/>
      <c r="N230" s="410"/>
      <c r="O230" s="410"/>
      <c r="P230" s="143">
        <f t="shared" si="58"/>
        <v>81.3</v>
      </c>
      <c r="Q230" s="143">
        <f t="shared" si="58"/>
        <v>81.3</v>
      </c>
      <c r="S230" s="154">
        <f>SUMIF('Flt III'!D:D,A230,'Flt III'!E:E)/3.2808^2</f>
        <v>0</v>
      </c>
      <c r="T230" s="154">
        <f>SUMIF('Flt IIa'!A:A,A230,'Flt IIa'!E:E)/3.2808^2</f>
        <v>46.452649721572477</v>
      </c>
      <c r="U230" s="154">
        <f>SUMIF('OPC Des'!A:A,A230,'OPC Des'!F:F)/3.2808^2</f>
        <v>0</v>
      </c>
      <c r="V230" s="154">
        <f>SUMIF('LCS 5'!A:A,A230,'LCS 5'!E:E)</f>
        <v>0</v>
      </c>
      <c r="W230" s="154">
        <f>SUMIF('USCG Summary'!$A$25:$A$50,A230,'USCG Summary'!$D$25:$D$50)/3.2808^2</f>
        <v>0</v>
      </c>
      <c r="X230" s="154">
        <f>SUMIF('USCG Summary'!$A$25:$A$50,A230,'USCG Summary'!$I$25:$I$50)/3.2808^2</f>
        <v>0</v>
      </c>
      <c r="Y230" s="154">
        <f>SUMIF('USCG Summary'!$A$25:$A$50,A230,'USCG Summary'!$L$25:$L$50)/3.2808^2</f>
        <v>0</v>
      </c>
      <c r="Z230" s="154">
        <f>SUMIF('USCG Summary'!$A$25:$A$50,A230,'USCG Summary'!$O$25:$O$50)/3.2808^2</f>
        <v>0</v>
      </c>
      <c r="AA230" s="154">
        <f>SUMIF('USCG Summary'!$A$25:$A$50,A230,'USCG Summary'!$P$25:$P$50)/3.2808^2</f>
        <v>0</v>
      </c>
      <c r="AB230" s="154">
        <f>SUMIF('USCG Summary'!$A$25:$A$50,A230,'USCG Summary'!$Q$25:$Q$50)/3.2808^2</f>
        <v>0</v>
      </c>
      <c r="AC230" s="154">
        <f>SUMIF('USCG Summary'!$A$25:$A$50,A230,'USCG Summary'!$T$25:$T$50)/3.2808^2</f>
        <v>0</v>
      </c>
      <c r="AD230" s="154">
        <f>SUMIF('USCG Summary'!$A$25:$A$50,A230,'USCG Summary'!$W$25:$W$50)/3.2808^2</f>
        <v>0</v>
      </c>
      <c r="AE230" s="154">
        <f>SUMIF('USCG Summary'!$A$25:$A$50,A230,'USCG Summary'!$Z$25:$Z$50)/3.2808^2</f>
        <v>0</v>
      </c>
      <c r="AF230" s="154">
        <f>SUMIF(Comp!$A$75:$A$400,Areas!A230,Comp!$F$75:$F$400)</f>
        <v>81.3</v>
      </c>
      <c r="AG230" s="154">
        <f>SUMIF(Comp!$A$75:$A$400,Areas!A230,Comp!$G$75:$G$400)</f>
        <v>81.3</v>
      </c>
      <c r="AH230" s="154"/>
      <c r="AI230" s="154"/>
      <c r="AK230" s="143"/>
    </row>
    <row r="231" spans="1:37" s="148" customFormat="1">
      <c r="A231" s="146" t="s">
        <v>1102</v>
      </c>
      <c r="C231" s="147">
        <f t="shared" ref="C231:F231" si="74">S231</f>
        <v>46.452649721572477</v>
      </c>
      <c r="D231" s="147">
        <f t="shared" si="74"/>
        <v>0</v>
      </c>
      <c r="E231" s="147">
        <f t="shared" si="74"/>
        <v>0</v>
      </c>
      <c r="F231" s="147">
        <f t="shared" si="74"/>
        <v>0</v>
      </c>
      <c r="G231" s="411"/>
      <c r="H231" s="411"/>
      <c r="I231" s="411"/>
      <c r="J231" s="411"/>
      <c r="K231" s="411"/>
      <c r="L231" s="411"/>
      <c r="M231" s="411"/>
      <c r="N231" s="411"/>
      <c r="O231" s="411"/>
      <c r="P231" s="147">
        <f t="shared" si="58"/>
        <v>0</v>
      </c>
      <c r="Q231" s="147">
        <f t="shared" si="58"/>
        <v>0</v>
      </c>
      <c r="S231" s="155">
        <f>SUMIF('Flt III'!D:D,A231,'Flt III'!E:E)/3.2808^2</f>
        <v>46.452649721572477</v>
      </c>
      <c r="T231" s="155">
        <f>SUMIF('Flt IIa'!A:A,A231,'Flt IIa'!E:E)/3.2808^2</f>
        <v>0</v>
      </c>
      <c r="U231" s="155">
        <f>SUMIF('OPC Des'!A:A,A231,'OPC Des'!F:F)/3.2808^2</f>
        <v>0</v>
      </c>
      <c r="V231" s="155">
        <f>SUMIF('LCS 5'!A:A,A231,'LCS 5'!E:E)</f>
        <v>0</v>
      </c>
      <c r="W231" s="155">
        <f>SUMIF('USCG Summary'!$A$25:$A$50,A231,'USCG Summary'!$D$25:$D$50)/3.2808^2</f>
        <v>0</v>
      </c>
      <c r="X231" s="155">
        <f>SUMIF('USCG Summary'!$A$25:$A$50,A231,'USCG Summary'!$I$25:$I$50)/3.2808^2</f>
        <v>0</v>
      </c>
      <c r="Y231" s="155">
        <f>SUMIF('USCG Summary'!$A$25:$A$50,A231,'USCG Summary'!$L$25:$L$50)/3.2808^2</f>
        <v>0</v>
      </c>
      <c r="Z231" s="155">
        <f>SUMIF('USCG Summary'!$A$25:$A$50,A231,'USCG Summary'!$O$25:$O$50)/3.2808^2</f>
        <v>0</v>
      </c>
      <c r="AA231" s="155">
        <f>SUMIF('USCG Summary'!$A$25:$A$50,A231,'USCG Summary'!$P$25:$P$50)/3.2808^2</f>
        <v>0</v>
      </c>
      <c r="AB231" s="155">
        <f>SUMIF('USCG Summary'!$A$25:$A$50,A231,'USCG Summary'!$Q$25:$Q$50)/3.2808^2</f>
        <v>0</v>
      </c>
      <c r="AC231" s="155">
        <f>SUMIF('USCG Summary'!$A$25:$A$50,A231,'USCG Summary'!$T$25:$T$50)/3.2808^2</f>
        <v>0</v>
      </c>
      <c r="AD231" s="155">
        <f>SUMIF('USCG Summary'!$A$25:$A$50,A231,'USCG Summary'!$W$25:$W$50)/3.2808^2</f>
        <v>0</v>
      </c>
      <c r="AE231" s="155">
        <f>SUMIF('USCG Summary'!$A$25:$A$50,A231,'USCG Summary'!$Z$25:$Z$50)/3.2808^2</f>
        <v>0</v>
      </c>
      <c r="AF231" s="155">
        <f>SUMIF(Comp!$A$75:$A$400,Areas!A231,Comp!$F$75:$F$400)</f>
        <v>0</v>
      </c>
      <c r="AG231" s="155">
        <f>SUMIF(Comp!$A$75:$A$400,Areas!A231,Comp!$G$75:$G$400)</f>
        <v>0</v>
      </c>
      <c r="AH231" s="155"/>
      <c r="AI231" s="155"/>
      <c r="AK231" s="147"/>
    </row>
    <row r="232" spans="1:37" s="141" customFormat="1">
      <c r="A232" s="144">
        <v>2.2111000000000001</v>
      </c>
      <c r="B232" s="141" t="str">
        <f>Comp!B214</f>
        <v>WARDROOM MESSRM &amp; LOUNGE</v>
      </c>
      <c r="C232" s="145">
        <f>S232</f>
        <v>0</v>
      </c>
      <c r="D232" s="145">
        <f>T232</f>
        <v>0</v>
      </c>
      <c r="E232" s="145">
        <f>U232</f>
        <v>0</v>
      </c>
      <c r="F232" s="145">
        <f>V232</f>
        <v>0</v>
      </c>
      <c r="G232" s="412"/>
      <c r="H232" s="412"/>
      <c r="I232" s="412"/>
      <c r="J232" s="412"/>
      <c r="K232" s="412"/>
      <c r="L232" s="412"/>
      <c r="M232" s="412"/>
      <c r="N232" s="412"/>
      <c r="O232" s="412"/>
      <c r="P232" s="145">
        <f t="shared" ref="P232:Q295" si="75">AF232</f>
        <v>81.3</v>
      </c>
      <c r="Q232" s="145">
        <f t="shared" si="75"/>
        <v>81.3</v>
      </c>
      <c r="S232" s="156">
        <f>SUMIF('Flt III'!D:D,A232,'Flt III'!E:E)/3.2808^2</f>
        <v>0</v>
      </c>
      <c r="T232" s="156">
        <f>SUMIF('Flt IIa'!A:A,A232,'Flt IIa'!E:E)/3.2808^2</f>
        <v>0</v>
      </c>
      <c r="U232" s="156">
        <f>SUMIF('OPC Des'!A:A,A232,'OPC Des'!F:F)/3.2808^2</f>
        <v>0</v>
      </c>
      <c r="V232" s="156">
        <f>SUMIF('LCS 5'!A:A,A232,'LCS 5'!E:E)</f>
        <v>0</v>
      </c>
      <c r="W232" s="156">
        <f>SUMIF('USCG Summary'!$A$25:$A$50,A232,'USCG Summary'!$D$25:$D$50)/3.2808^2</f>
        <v>0</v>
      </c>
      <c r="X232" s="156">
        <f>SUMIF('USCG Summary'!$A$25:$A$50,A232,'USCG Summary'!$I$25:$I$50)/3.2808^2</f>
        <v>0</v>
      </c>
      <c r="Y232" s="156">
        <f>SUMIF('USCG Summary'!$A$25:$A$50,A232,'USCG Summary'!$L$25:$L$50)/3.2808^2</f>
        <v>0</v>
      </c>
      <c r="Z232" s="156">
        <f>SUMIF('USCG Summary'!$A$25:$A$50,A232,'USCG Summary'!$O$25:$O$50)/3.2808^2</f>
        <v>0</v>
      </c>
      <c r="AA232" s="156">
        <f>SUMIF('USCG Summary'!$A$25:$A$50,A232,'USCG Summary'!$P$25:$P$50)/3.2808^2</f>
        <v>0</v>
      </c>
      <c r="AB232" s="156">
        <f>SUMIF('USCG Summary'!$A$25:$A$50,A232,'USCG Summary'!$Q$25:$Q$50)/3.2808^2</f>
        <v>0</v>
      </c>
      <c r="AC232" s="156">
        <f>SUMIF('USCG Summary'!$A$25:$A$50,A232,'USCG Summary'!$T$25:$T$50)/3.2808^2</f>
        <v>0</v>
      </c>
      <c r="AD232" s="156">
        <f>SUMIF('USCG Summary'!$A$25:$A$50,A232,'USCG Summary'!$W$25:$W$50)/3.2808^2</f>
        <v>0</v>
      </c>
      <c r="AE232" s="156">
        <f>SUMIF('USCG Summary'!$A$25:$A$50,A232,'USCG Summary'!$Z$25:$Z$50)/3.2808^2</f>
        <v>0</v>
      </c>
      <c r="AF232" s="156">
        <f>SUMIF(Comp!$A$75:$A$400,Areas!A232,Comp!$F$75:$F$400)</f>
        <v>81.3</v>
      </c>
      <c r="AG232" s="156">
        <f>SUMIF(Comp!$A$75:$A$400,Areas!A232,Comp!$G$75:$G$400)</f>
        <v>81.3</v>
      </c>
      <c r="AH232" s="156"/>
      <c r="AI232" s="156"/>
      <c r="AK232" s="145"/>
    </row>
    <row r="233" spans="1:37" s="132" customFormat="1">
      <c r="A233" s="142">
        <v>2.2120000000000002</v>
      </c>
      <c r="B233" s="132" t="str">
        <f>Comp!B215</f>
        <v>CPO</v>
      </c>
      <c r="C233" s="143">
        <f>SUM(C234)</f>
        <v>42.643532444403533</v>
      </c>
      <c r="D233" s="143">
        <f>T233</f>
        <v>42.643532444403533</v>
      </c>
      <c r="E233" s="143">
        <f>U233</f>
        <v>0</v>
      </c>
      <c r="F233" s="143">
        <f>V233</f>
        <v>0</v>
      </c>
      <c r="G233" s="410"/>
      <c r="H233" s="410"/>
      <c r="I233" s="410"/>
      <c r="J233" s="410"/>
      <c r="K233" s="410"/>
      <c r="L233" s="410"/>
      <c r="M233" s="410"/>
      <c r="N233" s="410"/>
      <c r="O233" s="410"/>
      <c r="P233" s="143">
        <f t="shared" si="75"/>
        <v>69.7</v>
      </c>
      <c r="Q233" s="143">
        <f t="shared" si="75"/>
        <v>69.7</v>
      </c>
      <c r="S233" s="154">
        <f>SUMIF('Flt III'!D:D,A233,'Flt III'!E:E)/3.2808^2</f>
        <v>0</v>
      </c>
      <c r="T233" s="154">
        <f>SUMIF('Flt IIa'!A:A,A233,'Flt IIa'!E:E)/3.2808^2</f>
        <v>42.643532444403533</v>
      </c>
      <c r="U233" s="154">
        <f>SUMIF('OPC Des'!A:A,A233,'OPC Des'!F:F)/3.2808^2</f>
        <v>0</v>
      </c>
      <c r="V233" s="154">
        <f>SUMIF('LCS 5'!A:A,A233,'LCS 5'!E:E)</f>
        <v>0</v>
      </c>
      <c r="W233" s="154">
        <f>SUMIF('USCG Summary'!$A$25:$A$50,A233,'USCG Summary'!$D$25:$D$50)/3.2808^2</f>
        <v>0</v>
      </c>
      <c r="X233" s="154">
        <f>SUMIF('USCG Summary'!$A$25:$A$50,A233,'USCG Summary'!$I$25:$I$50)/3.2808^2</f>
        <v>0</v>
      </c>
      <c r="Y233" s="154">
        <f>SUMIF('USCG Summary'!$A$25:$A$50,A233,'USCG Summary'!$L$25:$L$50)/3.2808^2</f>
        <v>0</v>
      </c>
      <c r="Z233" s="154">
        <f>SUMIF('USCG Summary'!$A$25:$A$50,A233,'USCG Summary'!$O$25:$O$50)/3.2808^2</f>
        <v>0</v>
      </c>
      <c r="AA233" s="154">
        <f>SUMIF('USCG Summary'!$A$25:$A$50,A233,'USCG Summary'!$P$25:$P$50)/3.2808^2</f>
        <v>0</v>
      </c>
      <c r="AB233" s="154">
        <f>SUMIF('USCG Summary'!$A$25:$A$50,A233,'USCG Summary'!$Q$25:$Q$50)/3.2808^2</f>
        <v>0</v>
      </c>
      <c r="AC233" s="154">
        <f>SUMIF('USCG Summary'!$A$25:$A$50,A233,'USCG Summary'!$T$25:$T$50)/3.2808^2</f>
        <v>0</v>
      </c>
      <c r="AD233" s="154">
        <f>SUMIF('USCG Summary'!$A$25:$A$50,A233,'USCG Summary'!$W$25:$W$50)/3.2808^2</f>
        <v>0</v>
      </c>
      <c r="AE233" s="154">
        <f>SUMIF('USCG Summary'!$A$25:$A$50,A233,'USCG Summary'!$Z$25:$Z$50)/3.2808^2</f>
        <v>0</v>
      </c>
      <c r="AF233" s="154">
        <f>SUMIF(Comp!$A$75:$A$400,Areas!A233,Comp!$F$75:$F$400)</f>
        <v>69.7</v>
      </c>
      <c r="AG233" s="154">
        <f>SUMIF(Comp!$A$75:$A$400,Areas!A233,Comp!$G$75:$G$400)</f>
        <v>69.7</v>
      </c>
      <c r="AH233" s="154"/>
      <c r="AI233" s="154"/>
      <c r="AK233" s="143"/>
    </row>
    <row r="234" spans="1:37" s="148" customFormat="1">
      <c r="A234" s="146" t="s">
        <v>1099</v>
      </c>
      <c r="C234" s="147">
        <f t="shared" ref="C234:F234" si="76">S234</f>
        <v>42.643532444403533</v>
      </c>
      <c r="D234" s="147">
        <f t="shared" si="76"/>
        <v>0</v>
      </c>
      <c r="E234" s="147">
        <f t="shared" si="76"/>
        <v>0</v>
      </c>
      <c r="F234" s="147">
        <f t="shared" si="76"/>
        <v>0</v>
      </c>
      <c r="G234" s="411"/>
      <c r="H234" s="411"/>
      <c r="I234" s="411"/>
      <c r="J234" s="411"/>
      <c r="K234" s="411"/>
      <c r="L234" s="411"/>
      <c r="M234" s="411"/>
      <c r="N234" s="411"/>
      <c r="O234" s="411"/>
      <c r="P234" s="147">
        <f t="shared" si="75"/>
        <v>0</v>
      </c>
      <c r="Q234" s="147">
        <f t="shared" si="75"/>
        <v>0</v>
      </c>
      <c r="S234" s="155">
        <f>SUMIF('Flt III'!D:D,A234,'Flt III'!E:E)/3.2808^2</f>
        <v>42.643532444403533</v>
      </c>
      <c r="T234" s="155">
        <f>SUMIF('Flt IIa'!A:A,A234,'Flt IIa'!E:E)/3.2808^2</f>
        <v>0</v>
      </c>
      <c r="U234" s="155">
        <f>SUMIF('OPC Des'!A:A,A234,'OPC Des'!F:F)/3.2808^2</f>
        <v>0</v>
      </c>
      <c r="V234" s="155">
        <f>SUMIF('LCS 5'!A:A,A234,'LCS 5'!E:E)</f>
        <v>0</v>
      </c>
      <c r="W234" s="155">
        <f>SUMIF('USCG Summary'!$A$25:$A$50,A234,'USCG Summary'!$D$25:$D$50)/3.2808^2</f>
        <v>0</v>
      </c>
      <c r="X234" s="155">
        <f>SUMIF('USCG Summary'!$A$25:$A$50,A234,'USCG Summary'!$I$25:$I$50)/3.2808^2</f>
        <v>0</v>
      </c>
      <c r="Y234" s="155">
        <f>SUMIF('USCG Summary'!$A$25:$A$50,A234,'USCG Summary'!$L$25:$L$50)/3.2808^2</f>
        <v>0</v>
      </c>
      <c r="Z234" s="155">
        <f>SUMIF('USCG Summary'!$A$25:$A$50,A234,'USCG Summary'!$O$25:$O$50)/3.2808^2</f>
        <v>0</v>
      </c>
      <c r="AA234" s="155">
        <f>SUMIF('USCG Summary'!$A$25:$A$50,A234,'USCG Summary'!$P$25:$P$50)/3.2808^2</f>
        <v>0</v>
      </c>
      <c r="AB234" s="155">
        <f>SUMIF('USCG Summary'!$A$25:$A$50,A234,'USCG Summary'!$Q$25:$Q$50)/3.2808^2</f>
        <v>0</v>
      </c>
      <c r="AC234" s="155">
        <f>SUMIF('USCG Summary'!$A$25:$A$50,A234,'USCG Summary'!$T$25:$T$50)/3.2808^2</f>
        <v>0</v>
      </c>
      <c r="AD234" s="155">
        <f>SUMIF('USCG Summary'!$A$25:$A$50,A234,'USCG Summary'!$W$25:$W$50)/3.2808^2</f>
        <v>0</v>
      </c>
      <c r="AE234" s="155">
        <f>SUMIF('USCG Summary'!$A$25:$A$50,A234,'USCG Summary'!$Z$25:$Z$50)/3.2808^2</f>
        <v>0</v>
      </c>
      <c r="AF234" s="155">
        <f>SUMIF(Comp!$A$75:$A$400,Areas!A234,Comp!$F$75:$F$400)</f>
        <v>0</v>
      </c>
      <c r="AG234" s="155">
        <f>SUMIF(Comp!$A$75:$A$400,Areas!A234,Comp!$G$75:$G$400)</f>
        <v>0</v>
      </c>
      <c r="AH234" s="155"/>
      <c r="AI234" s="155"/>
      <c r="AK234" s="147"/>
    </row>
    <row r="235" spans="1:37" s="141" customFormat="1">
      <c r="A235" s="144">
        <v>2.2121</v>
      </c>
      <c r="B235" s="141" t="str">
        <f>Comp!B216</f>
        <v>CPO MESSROOM AND LOUNGE</v>
      </c>
      <c r="C235" s="145">
        <f>S235</f>
        <v>0</v>
      </c>
      <c r="D235" s="145">
        <f>T235</f>
        <v>0</v>
      </c>
      <c r="E235" s="145">
        <f>U235</f>
        <v>0</v>
      </c>
      <c r="F235" s="145">
        <f>V235</f>
        <v>0</v>
      </c>
      <c r="G235" s="412"/>
      <c r="H235" s="412"/>
      <c r="I235" s="412"/>
      <c r="J235" s="412"/>
      <c r="K235" s="412"/>
      <c r="L235" s="412"/>
      <c r="M235" s="412"/>
      <c r="N235" s="412"/>
      <c r="O235" s="412"/>
      <c r="P235" s="145">
        <f t="shared" si="75"/>
        <v>69.7</v>
      </c>
      <c r="Q235" s="145">
        <f t="shared" si="75"/>
        <v>69.7</v>
      </c>
      <c r="S235" s="156">
        <f>SUMIF('Flt III'!D:D,A235,'Flt III'!E:E)/3.2808^2</f>
        <v>0</v>
      </c>
      <c r="T235" s="156">
        <f>SUMIF('Flt IIa'!A:A,A235,'Flt IIa'!E:E)/3.2808^2</f>
        <v>0</v>
      </c>
      <c r="U235" s="156">
        <f>SUMIF('OPC Des'!A:A,A235,'OPC Des'!F:F)/3.2808^2</f>
        <v>0</v>
      </c>
      <c r="V235" s="156">
        <f>SUMIF('LCS 5'!A:A,A235,'LCS 5'!E:E)</f>
        <v>0</v>
      </c>
      <c r="W235" s="156">
        <f>SUMIF('USCG Summary'!$A$25:$A$50,A235,'USCG Summary'!$D$25:$D$50)/3.2808^2</f>
        <v>0</v>
      </c>
      <c r="X235" s="156">
        <f>SUMIF('USCG Summary'!$A$25:$A$50,A235,'USCG Summary'!$I$25:$I$50)/3.2808^2</f>
        <v>0</v>
      </c>
      <c r="Y235" s="156">
        <f>SUMIF('USCG Summary'!$A$25:$A$50,A235,'USCG Summary'!$L$25:$L$50)/3.2808^2</f>
        <v>0</v>
      </c>
      <c r="Z235" s="156">
        <f>SUMIF('USCG Summary'!$A$25:$A$50,A235,'USCG Summary'!$O$25:$O$50)/3.2808^2</f>
        <v>0</v>
      </c>
      <c r="AA235" s="156">
        <f>SUMIF('USCG Summary'!$A$25:$A$50,A235,'USCG Summary'!$P$25:$P$50)/3.2808^2</f>
        <v>0</v>
      </c>
      <c r="AB235" s="156">
        <f>SUMIF('USCG Summary'!$A$25:$A$50,A235,'USCG Summary'!$Q$25:$Q$50)/3.2808^2</f>
        <v>0</v>
      </c>
      <c r="AC235" s="156">
        <f>SUMIF('USCG Summary'!$A$25:$A$50,A235,'USCG Summary'!$T$25:$T$50)/3.2808^2</f>
        <v>0</v>
      </c>
      <c r="AD235" s="156">
        <f>SUMIF('USCG Summary'!$A$25:$A$50,A235,'USCG Summary'!$W$25:$W$50)/3.2808^2</f>
        <v>0</v>
      </c>
      <c r="AE235" s="156">
        <f>SUMIF('USCG Summary'!$A$25:$A$50,A235,'USCG Summary'!$Z$25:$Z$50)/3.2808^2</f>
        <v>0</v>
      </c>
      <c r="AF235" s="156">
        <f>SUMIF(Comp!$A$75:$A$400,Areas!A235,Comp!$F$75:$F$400)</f>
        <v>69.7</v>
      </c>
      <c r="AG235" s="156">
        <f>SUMIF(Comp!$A$75:$A$400,Areas!A235,Comp!$G$75:$G$400)</f>
        <v>69.7</v>
      </c>
      <c r="AH235" s="156"/>
      <c r="AI235" s="156"/>
      <c r="AK235" s="145"/>
    </row>
    <row r="236" spans="1:37" s="132" customFormat="1">
      <c r="A236" s="142">
        <v>2.2130000000000001</v>
      </c>
      <c r="B236" s="132" t="str">
        <f>Comp!B217</f>
        <v>CREW</v>
      </c>
      <c r="C236" s="143">
        <f>SUM(C237)</f>
        <v>104.70427247242435</v>
      </c>
      <c r="D236" s="143">
        <f>T236</f>
        <v>104.70427247242435</v>
      </c>
      <c r="E236" s="143">
        <f>SUM(E237)</f>
        <v>100.98806049469856</v>
      </c>
      <c r="F236" s="143">
        <f>SUM(F237)</f>
        <v>79.36</v>
      </c>
      <c r="G236" s="410"/>
      <c r="H236" s="410"/>
      <c r="I236" s="410"/>
      <c r="J236" s="410"/>
      <c r="K236" s="410"/>
      <c r="L236" s="410"/>
      <c r="M236" s="410"/>
      <c r="N236" s="410"/>
      <c r="O236" s="410"/>
      <c r="P236" s="143">
        <f t="shared" si="75"/>
        <v>138.1</v>
      </c>
      <c r="Q236" s="143">
        <f t="shared" si="75"/>
        <v>138.1</v>
      </c>
      <c r="S236" s="154">
        <f>SUMIF('Flt III'!D:D,A236,'Flt III'!E:E)/3.2808^2</f>
        <v>0</v>
      </c>
      <c r="T236" s="154">
        <f>SUMIF('Flt IIa'!A:A,A236,'Flt IIa'!E:E)/3.2808^2</f>
        <v>104.70427247242435</v>
      </c>
      <c r="U236" s="154">
        <f>SUMIF('OPC Des'!A:A,A236,'OPC Des'!F:F)/3.2808^2</f>
        <v>0</v>
      </c>
      <c r="V236" s="154">
        <f>SUMIF('LCS 5'!A:A,A236,'LCS 5'!E:E)</f>
        <v>0</v>
      </c>
      <c r="W236" s="154">
        <f>SUMIF('USCG Summary'!$A$25:$A$50,A236,'USCG Summary'!$D$25:$D$50)/3.2808^2</f>
        <v>0</v>
      </c>
      <c r="X236" s="154">
        <f>SUMIF('USCG Summary'!$A$25:$A$50,A236,'USCG Summary'!$I$25:$I$50)/3.2808^2</f>
        <v>0</v>
      </c>
      <c r="Y236" s="154">
        <f>SUMIF('USCG Summary'!$A$25:$A$50,A236,'USCG Summary'!$L$25:$L$50)/3.2808^2</f>
        <v>0</v>
      </c>
      <c r="Z236" s="154">
        <f>SUMIF('USCG Summary'!$A$25:$A$50,A236,'USCG Summary'!$O$25:$O$50)/3.2808^2</f>
        <v>0</v>
      </c>
      <c r="AA236" s="154">
        <f>SUMIF('USCG Summary'!$A$25:$A$50,A236,'USCG Summary'!$P$25:$P$50)/3.2808^2</f>
        <v>0</v>
      </c>
      <c r="AB236" s="154">
        <f>SUMIF('USCG Summary'!$A$25:$A$50,A236,'USCG Summary'!$Q$25:$Q$50)/3.2808^2</f>
        <v>0</v>
      </c>
      <c r="AC236" s="154">
        <f>SUMIF('USCG Summary'!$A$25:$A$50,A236,'USCG Summary'!$T$25:$T$50)/3.2808^2</f>
        <v>0</v>
      </c>
      <c r="AD236" s="154">
        <f>SUMIF('USCG Summary'!$A$25:$A$50,A236,'USCG Summary'!$W$25:$W$50)/3.2808^2</f>
        <v>0</v>
      </c>
      <c r="AE236" s="154">
        <f>SUMIF('USCG Summary'!$A$25:$A$50,A236,'USCG Summary'!$Z$25:$Z$50)/3.2808^2</f>
        <v>0</v>
      </c>
      <c r="AF236" s="154">
        <f>SUMIF(Comp!$A$75:$A$400,Areas!A236,Comp!$F$75:$F$400)</f>
        <v>138.1</v>
      </c>
      <c r="AG236" s="154">
        <f>SUMIF(Comp!$A$75:$A$400,Areas!A236,Comp!$G$75:$G$400)</f>
        <v>138.1</v>
      </c>
      <c r="AH236" s="154"/>
      <c r="AI236" s="154"/>
      <c r="AK236" s="143"/>
    </row>
    <row r="237" spans="1:37" s="148" customFormat="1">
      <c r="A237" s="146" t="s">
        <v>1096</v>
      </c>
      <c r="C237" s="147">
        <f t="shared" ref="C237:F239" si="77">S237</f>
        <v>104.70427247242435</v>
      </c>
      <c r="D237" s="147">
        <f t="shared" si="77"/>
        <v>0</v>
      </c>
      <c r="E237" s="147">
        <f t="shared" si="77"/>
        <v>100.98806049469856</v>
      </c>
      <c r="F237" s="147">
        <f t="shared" si="77"/>
        <v>79.36</v>
      </c>
      <c r="G237" s="411"/>
      <c r="H237" s="411"/>
      <c r="I237" s="411"/>
      <c r="J237" s="411"/>
      <c r="K237" s="411"/>
      <c r="L237" s="411"/>
      <c r="M237" s="411"/>
      <c r="N237" s="411"/>
      <c r="O237" s="411"/>
      <c r="P237" s="147">
        <f t="shared" si="75"/>
        <v>0</v>
      </c>
      <c r="Q237" s="147">
        <f t="shared" si="75"/>
        <v>0</v>
      </c>
      <c r="S237" s="155">
        <f>SUMIF('Flt III'!D:D,A237,'Flt III'!E:E)/3.2808^2</f>
        <v>104.70427247242435</v>
      </c>
      <c r="T237" s="155">
        <f>SUMIF('Flt IIa'!A:A,A237,'Flt IIa'!E:E)/3.2808^2</f>
        <v>0</v>
      </c>
      <c r="U237" s="155">
        <f>SUMIF('OPC Des'!A:A,A237,'OPC Des'!F:F)/3.2808^2</f>
        <v>100.98806049469856</v>
      </c>
      <c r="V237" s="155">
        <f>SUMIF('LCS 5'!A:A,A237,'LCS 5'!E:E)</f>
        <v>79.36</v>
      </c>
      <c r="W237" s="155">
        <f>SUMIF('USCG Summary'!$A$25:$A$50,A237,'USCG Summary'!$D$25:$D$50)/3.2808^2</f>
        <v>0</v>
      </c>
      <c r="X237" s="155">
        <f>SUMIF('USCG Summary'!$A$25:$A$50,A237,'USCG Summary'!$I$25:$I$50)/3.2808^2</f>
        <v>0</v>
      </c>
      <c r="Y237" s="155">
        <f>SUMIF('USCG Summary'!$A$25:$A$50,A237,'USCG Summary'!$L$25:$L$50)/3.2808^2</f>
        <v>0</v>
      </c>
      <c r="Z237" s="155">
        <f>SUMIF('USCG Summary'!$A$25:$A$50,A237,'USCG Summary'!$O$25:$O$50)/3.2808^2</f>
        <v>0</v>
      </c>
      <c r="AA237" s="155">
        <f>SUMIF('USCG Summary'!$A$25:$A$50,A237,'USCG Summary'!$P$25:$P$50)/3.2808^2</f>
        <v>0</v>
      </c>
      <c r="AB237" s="155">
        <f>SUMIF('USCG Summary'!$A$25:$A$50,A237,'USCG Summary'!$Q$25:$Q$50)/3.2808^2</f>
        <v>0</v>
      </c>
      <c r="AC237" s="155">
        <f>SUMIF('USCG Summary'!$A$25:$A$50,A237,'USCG Summary'!$T$25:$T$50)/3.2808^2</f>
        <v>0</v>
      </c>
      <c r="AD237" s="155">
        <f>SUMIF('USCG Summary'!$A$25:$A$50,A237,'USCG Summary'!$W$25:$W$50)/3.2808^2</f>
        <v>0</v>
      </c>
      <c r="AE237" s="155">
        <f>SUMIF('USCG Summary'!$A$25:$A$50,A237,'USCG Summary'!$Z$25:$Z$50)/3.2808^2</f>
        <v>0</v>
      </c>
      <c r="AF237" s="155">
        <f>SUMIF(Comp!$A$75:$A$400,Areas!A237,Comp!$F$75:$F$400)</f>
        <v>0</v>
      </c>
      <c r="AG237" s="155">
        <f>SUMIF(Comp!$A$75:$A$400,Areas!A237,Comp!$G$75:$G$400)</f>
        <v>0</v>
      </c>
      <c r="AH237" s="155"/>
      <c r="AI237" s="155"/>
      <c r="AK237" s="147"/>
    </row>
    <row r="238" spans="1:37" s="141" customFormat="1">
      <c r="A238" s="144">
        <v>2.2130999999999998</v>
      </c>
      <c r="B238" s="141" t="str">
        <f>Comp!B218</f>
        <v>1ST CLASS MESSROOM</v>
      </c>
      <c r="C238" s="145">
        <f t="shared" si="77"/>
        <v>0</v>
      </c>
      <c r="D238" s="145">
        <f t="shared" si="77"/>
        <v>0</v>
      </c>
      <c r="E238" s="145">
        <f t="shared" si="77"/>
        <v>0</v>
      </c>
      <c r="F238" s="145">
        <f t="shared" si="77"/>
        <v>0</v>
      </c>
      <c r="G238" s="412"/>
      <c r="H238" s="412"/>
      <c r="I238" s="412"/>
      <c r="J238" s="412"/>
      <c r="K238" s="412"/>
      <c r="L238" s="412"/>
      <c r="M238" s="412"/>
      <c r="N238" s="412"/>
      <c r="O238" s="412"/>
      <c r="P238" s="145">
        <f t="shared" si="75"/>
        <v>20.7</v>
      </c>
      <c r="Q238" s="145">
        <f t="shared" si="75"/>
        <v>20.7</v>
      </c>
      <c r="S238" s="156">
        <f>SUMIF('Flt III'!D:D,A238,'Flt III'!E:E)/3.2808^2</f>
        <v>0</v>
      </c>
      <c r="T238" s="156">
        <f>SUMIF('Flt IIa'!A:A,A238,'Flt IIa'!E:E)/3.2808^2</f>
        <v>0</v>
      </c>
      <c r="U238" s="156">
        <f>SUMIF('OPC Des'!A:A,A238,'OPC Des'!F:F)/3.2808^2</f>
        <v>0</v>
      </c>
      <c r="V238" s="156">
        <f>SUMIF('LCS 5'!A:A,A238,'LCS 5'!E:E)</f>
        <v>0</v>
      </c>
      <c r="W238" s="156">
        <f>SUMIF('USCG Summary'!$A$25:$A$50,A238,'USCG Summary'!$D$25:$D$50)/3.2808^2</f>
        <v>0</v>
      </c>
      <c r="X238" s="156">
        <f>SUMIF('USCG Summary'!$A$25:$A$50,A238,'USCG Summary'!$I$25:$I$50)/3.2808^2</f>
        <v>0</v>
      </c>
      <c r="Y238" s="156">
        <f>SUMIF('USCG Summary'!$A$25:$A$50,A238,'USCG Summary'!$L$25:$L$50)/3.2808^2</f>
        <v>0</v>
      </c>
      <c r="Z238" s="156">
        <f>SUMIF('USCG Summary'!$A$25:$A$50,A238,'USCG Summary'!$O$25:$O$50)/3.2808^2</f>
        <v>0</v>
      </c>
      <c r="AA238" s="156">
        <f>SUMIF('USCG Summary'!$A$25:$A$50,A238,'USCG Summary'!$P$25:$P$50)/3.2808^2</f>
        <v>0</v>
      </c>
      <c r="AB238" s="156">
        <f>SUMIF('USCG Summary'!$A$25:$A$50,A238,'USCG Summary'!$Q$25:$Q$50)/3.2808^2</f>
        <v>0</v>
      </c>
      <c r="AC238" s="156">
        <f>SUMIF('USCG Summary'!$A$25:$A$50,A238,'USCG Summary'!$T$25:$T$50)/3.2808^2</f>
        <v>0</v>
      </c>
      <c r="AD238" s="156">
        <f>SUMIF('USCG Summary'!$A$25:$A$50,A238,'USCG Summary'!$W$25:$W$50)/3.2808^2</f>
        <v>0</v>
      </c>
      <c r="AE238" s="156">
        <f>SUMIF('USCG Summary'!$A$25:$A$50,A238,'USCG Summary'!$Z$25:$Z$50)/3.2808^2</f>
        <v>0</v>
      </c>
      <c r="AF238" s="156">
        <f>SUMIF(Comp!$A$75:$A$400,Areas!A238,Comp!$F$75:$F$400)</f>
        <v>20.7</v>
      </c>
      <c r="AG238" s="156">
        <f>SUMIF(Comp!$A$75:$A$400,Areas!A238,Comp!$G$75:$G$400)</f>
        <v>20.7</v>
      </c>
      <c r="AH238" s="156"/>
      <c r="AI238" s="156"/>
      <c r="AK238" s="145"/>
    </row>
    <row r="239" spans="1:37" s="141" customFormat="1">
      <c r="A239" s="144">
        <v>2.2132999999999998</v>
      </c>
      <c r="B239" s="141" t="str">
        <f>Comp!B219</f>
        <v>CREW MESSROOM</v>
      </c>
      <c r="C239" s="145">
        <f t="shared" si="77"/>
        <v>0</v>
      </c>
      <c r="D239" s="145">
        <f t="shared" si="77"/>
        <v>0</v>
      </c>
      <c r="E239" s="145">
        <f t="shared" si="77"/>
        <v>0</v>
      </c>
      <c r="F239" s="145">
        <f t="shared" si="77"/>
        <v>0</v>
      </c>
      <c r="G239" s="412"/>
      <c r="H239" s="412"/>
      <c r="I239" s="412"/>
      <c r="J239" s="412"/>
      <c r="K239" s="412"/>
      <c r="L239" s="412"/>
      <c r="M239" s="412"/>
      <c r="N239" s="412"/>
      <c r="O239" s="412"/>
      <c r="P239" s="145">
        <f t="shared" si="75"/>
        <v>117.5</v>
      </c>
      <c r="Q239" s="145">
        <f t="shared" si="75"/>
        <v>117.5</v>
      </c>
      <c r="S239" s="156">
        <f>SUMIF('Flt III'!D:D,A239,'Flt III'!E:E)/3.2808^2</f>
        <v>0</v>
      </c>
      <c r="T239" s="156">
        <f>SUMIF('Flt IIa'!A:A,A239,'Flt IIa'!E:E)/3.2808^2</f>
        <v>0</v>
      </c>
      <c r="U239" s="156">
        <f>SUMIF('OPC Des'!A:A,A239,'OPC Des'!F:F)/3.2808^2</f>
        <v>0</v>
      </c>
      <c r="V239" s="156">
        <f>SUMIF('LCS 5'!A:A,A239,'LCS 5'!E:E)</f>
        <v>0</v>
      </c>
      <c r="W239" s="156">
        <f>SUMIF('USCG Summary'!$A$25:$A$50,A239,'USCG Summary'!$D$25:$D$50)/3.2808^2</f>
        <v>0</v>
      </c>
      <c r="X239" s="156">
        <f>SUMIF('USCG Summary'!$A$25:$A$50,A239,'USCG Summary'!$I$25:$I$50)/3.2808^2</f>
        <v>0</v>
      </c>
      <c r="Y239" s="156">
        <f>SUMIF('USCG Summary'!$A$25:$A$50,A239,'USCG Summary'!$L$25:$L$50)/3.2808^2</f>
        <v>0</v>
      </c>
      <c r="Z239" s="156">
        <f>SUMIF('USCG Summary'!$A$25:$A$50,A239,'USCG Summary'!$O$25:$O$50)/3.2808^2</f>
        <v>0</v>
      </c>
      <c r="AA239" s="156">
        <f>SUMIF('USCG Summary'!$A$25:$A$50,A239,'USCG Summary'!$P$25:$P$50)/3.2808^2</f>
        <v>0</v>
      </c>
      <c r="AB239" s="156">
        <f>SUMIF('USCG Summary'!$A$25:$A$50,A239,'USCG Summary'!$Q$25:$Q$50)/3.2808^2</f>
        <v>0</v>
      </c>
      <c r="AC239" s="156">
        <f>SUMIF('USCG Summary'!$A$25:$A$50,A239,'USCG Summary'!$T$25:$T$50)/3.2808^2</f>
        <v>0</v>
      </c>
      <c r="AD239" s="156">
        <f>SUMIF('USCG Summary'!$A$25:$A$50,A239,'USCG Summary'!$W$25:$W$50)/3.2808^2</f>
        <v>0</v>
      </c>
      <c r="AE239" s="156">
        <f>SUMIF('USCG Summary'!$A$25:$A$50,A239,'USCG Summary'!$Z$25:$Z$50)/3.2808^2</f>
        <v>0</v>
      </c>
      <c r="AF239" s="156">
        <f>SUMIF(Comp!$A$75:$A$400,Areas!A239,Comp!$F$75:$F$400)</f>
        <v>117.5</v>
      </c>
      <c r="AG239" s="156">
        <f>SUMIF(Comp!$A$75:$A$400,Areas!A239,Comp!$G$75:$G$400)</f>
        <v>117.5</v>
      </c>
      <c r="AH239" s="156"/>
      <c r="AI239" s="156"/>
      <c r="AK239" s="145"/>
    </row>
    <row r="240" spans="1:37" s="132" customFormat="1">
      <c r="A240" s="142">
        <v>2.214</v>
      </c>
      <c r="B240" s="132" t="str">
        <f>Comp!B220</f>
        <v>MESS MANAGEMENT SPLST</v>
      </c>
      <c r="C240" s="143">
        <f>SUM(C241)</f>
        <v>0</v>
      </c>
      <c r="D240" s="143">
        <f>SUM(D241)</f>
        <v>0</v>
      </c>
      <c r="E240" s="143">
        <f>SUM(E241)</f>
        <v>0</v>
      </c>
      <c r="F240" s="143">
        <f>SUM(F241)</f>
        <v>0</v>
      </c>
      <c r="G240" s="410"/>
      <c r="H240" s="410"/>
      <c r="I240" s="410"/>
      <c r="J240" s="410"/>
      <c r="K240" s="410"/>
      <c r="L240" s="410"/>
      <c r="M240" s="410"/>
      <c r="N240" s="410"/>
      <c r="O240" s="410"/>
      <c r="P240" s="143">
        <f t="shared" si="75"/>
        <v>11.6</v>
      </c>
      <c r="Q240" s="143">
        <f t="shared" si="75"/>
        <v>11.6</v>
      </c>
      <c r="S240" s="154">
        <f>SUMIF('Flt III'!D:D,A240,'Flt III'!E:E)/3.2808^2</f>
        <v>0</v>
      </c>
      <c r="T240" s="154">
        <f>SUMIF('Flt IIa'!A:A,A240,'Flt IIa'!E:E)/3.2808^2</f>
        <v>0</v>
      </c>
      <c r="U240" s="154">
        <f>SUMIF('OPC Des'!A:A,A240,'OPC Des'!F:F)/3.2808^2</f>
        <v>0</v>
      </c>
      <c r="V240" s="154">
        <f>SUMIF('LCS 5'!A:A,A240,'LCS 5'!E:E)</f>
        <v>0</v>
      </c>
      <c r="W240" s="154">
        <f>SUMIF('USCG Summary'!$A$25:$A$50,A240,'USCG Summary'!$D$25:$D$50)/3.2808^2</f>
        <v>0</v>
      </c>
      <c r="X240" s="154">
        <f>SUMIF('USCG Summary'!$A$25:$A$50,A240,'USCG Summary'!$I$25:$I$50)/3.2808^2</f>
        <v>0</v>
      </c>
      <c r="Y240" s="154">
        <f>SUMIF('USCG Summary'!$A$25:$A$50,A240,'USCG Summary'!$L$25:$L$50)/3.2808^2</f>
        <v>0</v>
      </c>
      <c r="Z240" s="154">
        <f>SUMIF('USCG Summary'!$A$25:$A$50,A240,'USCG Summary'!$O$25:$O$50)/3.2808^2</f>
        <v>0</v>
      </c>
      <c r="AA240" s="154">
        <f>SUMIF('USCG Summary'!$A$25:$A$50,A240,'USCG Summary'!$P$25:$P$50)/3.2808^2</f>
        <v>0</v>
      </c>
      <c r="AB240" s="154">
        <f>SUMIF('USCG Summary'!$A$25:$A$50,A240,'USCG Summary'!$Q$25:$Q$50)/3.2808^2</f>
        <v>0</v>
      </c>
      <c r="AC240" s="154">
        <f>SUMIF('USCG Summary'!$A$25:$A$50,A240,'USCG Summary'!$T$25:$T$50)/3.2808^2</f>
        <v>0</v>
      </c>
      <c r="AD240" s="154">
        <f>SUMIF('USCG Summary'!$A$25:$A$50,A240,'USCG Summary'!$W$25:$W$50)/3.2808^2</f>
        <v>0</v>
      </c>
      <c r="AE240" s="154">
        <f>SUMIF('USCG Summary'!$A$25:$A$50,A240,'USCG Summary'!$Z$25:$Z$50)/3.2808^2</f>
        <v>0</v>
      </c>
      <c r="AF240" s="154">
        <f>SUMIF(Comp!$A$75:$A$400,Areas!A240,Comp!$F$75:$F$400)</f>
        <v>11.6</v>
      </c>
      <c r="AG240" s="154">
        <f>SUMIF(Comp!$A$75:$A$400,Areas!A240,Comp!$G$75:$G$400)</f>
        <v>11.6</v>
      </c>
      <c r="AH240" s="154"/>
      <c r="AI240" s="154"/>
      <c r="AK240" s="143"/>
    </row>
    <row r="241" spans="1:37" s="141" customFormat="1">
      <c r="A241" s="144">
        <v>2.2141000000000002</v>
      </c>
      <c r="B241" s="141" t="str">
        <f>Comp!B221</f>
        <v>MESS MNGMNT SPLST MESSRM</v>
      </c>
      <c r="C241" s="145">
        <f t="shared" ref="C241:F242" si="78">S241</f>
        <v>0</v>
      </c>
      <c r="D241" s="145">
        <f t="shared" si="78"/>
        <v>0</v>
      </c>
      <c r="E241" s="145">
        <f t="shared" si="78"/>
        <v>0</v>
      </c>
      <c r="F241" s="145">
        <f t="shared" si="78"/>
        <v>0</v>
      </c>
      <c r="G241" s="412"/>
      <c r="H241" s="412"/>
      <c r="I241" s="412"/>
      <c r="J241" s="412"/>
      <c r="K241" s="412"/>
      <c r="L241" s="412"/>
      <c r="M241" s="412"/>
      <c r="N241" s="412"/>
      <c r="O241" s="412"/>
      <c r="P241" s="145">
        <f t="shared" si="75"/>
        <v>11.6</v>
      </c>
      <c r="Q241" s="145">
        <f t="shared" si="75"/>
        <v>11.6</v>
      </c>
      <c r="S241" s="156">
        <f>SUMIF('Flt III'!D:D,A241,'Flt III'!E:E)/3.2808^2</f>
        <v>0</v>
      </c>
      <c r="T241" s="156">
        <f>SUMIF('Flt IIa'!A:A,A241,'Flt IIa'!E:E)/3.2808^2</f>
        <v>0</v>
      </c>
      <c r="U241" s="156">
        <f>SUMIF('OPC Des'!A:A,A241,'OPC Des'!F:F)/3.2808^2</f>
        <v>0</v>
      </c>
      <c r="V241" s="156">
        <f>SUMIF('LCS 5'!A:A,A241,'LCS 5'!E:E)</f>
        <v>0</v>
      </c>
      <c r="W241" s="156">
        <f>SUMIF('USCG Summary'!$A$25:$A$50,A241,'USCG Summary'!$D$25:$D$50)/3.2808^2</f>
        <v>0</v>
      </c>
      <c r="X241" s="156">
        <f>SUMIF('USCG Summary'!$A$25:$A$50,A241,'USCG Summary'!$I$25:$I$50)/3.2808^2</f>
        <v>0</v>
      </c>
      <c r="Y241" s="156">
        <f>SUMIF('USCG Summary'!$A$25:$A$50,A241,'USCG Summary'!$L$25:$L$50)/3.2808^2</f>
        <v>0</v>
      </c>
      <c r="Z241" s="156">
        <f>SUMIF('USCG Summary'!$A$25:$A$50,A241,'USCG Summary'!$O$25:$O$50)/3.2808^2</f>
        <v>0</v>
      </c>
      <c r="AA241" s="156">
        <f>SUMIF('USCG Summary'!$A$25:$A$50,A241,'USCG Summary'!$P$25:$P$50)/3.2808^2</f>
        <v>0</v>
      </c>
      <c r="AB241" s="156">
        <f>SUMIF('USCG Summary'!$A$25:$A$50,A241,'USCG Summary'!$Q$25:$Q$50)/3.2808^2</f>
        <v>0</v>
      </c>
      <c r="AC241" s="156">
        <f>SUMIF('USCG Summary'!$A$25:$A$50,A241,'USCG Summary'!$T$25:$T$50)/3.2808^2</f>
        <v>0</v>
      </c>
      <c r="AD241" s="156">
        <f>SUMIF('USCG Summary'!$A$25:$A$50,A241,'USCG Summary'!$W$25:$W$50)/3.2808^2</f>
        <v>0</v>
      </c>
      <c r="AE241" s="156">
        <f>SUMIF('USCG Summary'!$A$25:$A$50,A241,'USCG Summary'!$Z$25:$Z$50)/3.2808^2</f>
        <v>0</v>
      </c>
      <c r="AF241" s="156">
        <f>SUMIF(Comp!$A$75:$A$400,Areas!A241,Comp!$F$75:$F$400)</f>
        <v>11.6</v>
      </c>
      <c r="AG241" s="156">
        <f>SUMIF(Comp!$A$75:$A$400,Areas!A241,Comp!$G$75:$G$400)</f>
        <v>11.6</v>
      </c>
      <c r="AH241" s="156"/>
      <c r="AI241" s="156"/>
      <c r="AK241" s="145"/>
    </row>
    <row r="242" spans="1:37" s="132" customFormat="1">
      <c r="A242" s="142">
        <v>2.2149999999999999</v>
      </c>
      <c r="B242" s="132" t="str">
        <f>Comp!B222</f>
        <v>FLAG OFFICER</v>
      </c>
      <c r="C242" s="143">
        <f t="shared" si="78"/>
        <v>0</v>
      </c>
      <c r="D242" s="143">
        <f t="shared" si="78"/>
        <v>0</v>
      </c>
      <c r="E242" s="143">
        <f t="shared" si="78"/>
        <v>0</v>
      </c>
      <c r="F242" s="143">
        <f t="shared" si="78"/>
        <v>0</v>
      </c>
      <c r="G242" s="410"/>
      <c r="H242" s="410"/>
      <c r="I242" s="410"/>
      <c r="J242" s="410"/>
      <c r="K242" s="410"/>
      <c r="L242" s="410"/>
      <c r="M242" s="410"/>
      <c r="N242" s="410"/>
      <c r="O242" s="410"/>
      <c r="P242" s="143">
        <f t="shared" si="75"/>
        <v>0</v>
      </c>
      <c r="Q242" s="143">
        <f t="shared" si="75"/>
        <v>0</v>
      </c>
      <c r="S242" s="154">
        <f>SUMIF('Flt III'!D:D,A242,'Flt III'!E:E)/3.2808^2</f>
        <v>0</v>
      </c>
      <c r="T242" s="154">
        <f>SUMIF('Flt IIa'!A:A,A242,'Flt IIa'!E:E)/3.2808^2</f>
        <v>0</v>
      </c>
      <c r="U242" s="154">
        <f>SUMIF('OPC Des'!A:A,A242,'OPC Des'!F:F)/3.2808^2</f>
        <v>0</v>
      </c>
      <c r="V242" s="154">
        <f>SUMIF('LCS 5'!A:A,A242,'LCS 5'!E:E)</f>
        <v>0</v>
      </c>
      <c r="W242" s="154">
        <f>SUMIF('USCG Summary'!$A$25:$A$50,A242,'USCG Summary'!$D$25:$D$50)/3.2808^2</f>
        <v>0</v>
      </c>
      <c r="X242" s="154">
        <f>SUMIF('USCG Summary'!$A$25:$A$50,A242,'USCG Summary'!$I$25:$I$50)/3.2808^2</f>
        <v>0</v>
      </c>
      <c r="Y242" s="154">
        <f>SUMIF('USCG Summary'!$A$25:$A$50,A242,'USCG Summary'!$L$25:$L$50)/3.2808^2</f>
        <v>0</v>
      </c>
      <c r="Z242" s="154">
        <f>SUMIF('USCG Summary'!$A$25:$A$50,A242,'USCG Summary'!$O$25:$O$50)/3.2808^2</f>
        <v>0</v>
      </c>
      <c r="AA242" s="154">
        <f>SUMIF('USCG Summary'!$A$25:$A$50,A242,'USCG Summary'!$P$25:$P$50)/3.2808^2</f>
        <v>0</v>
      </c>
      <c r="AB242" s="154">
        <f>SUMIF('USCG Summary'!$A$25:$A$50,A242,'USCG Summary'!$Q$25:$Q$50)/3.2808^2</f>
        <v>0</v>
      </c>
      <c r="AC242" s="154">
        <f>SUMIF('USCG Summary'!$A$25:$A$50,A242,'USCG Summary'!$T$25:$T$50)/3.2808^2</f>
        <v>0</v>
      </c>
      <c r="AD242" s="154">
        <f>SUMIF('USCG Summary'!$A$25:$A$50,A242,'USCG Summary'!$W$25:$W$50)/3.2808^2</f>
        <v>0</v>
      </c>
      <c r="AE242" s="154">
        <f>SUMIF('USCG Summary'!$A$25:$A$50,A242,'USCG Summary'!$Z$25:$Z$50)/3.2808^2</f>
        <v>0</v>
      </c>
      <c r="AF242" s="154">
        <f>SUMIF(Comp!$A$75:$A$400,Areas!A242,Comp!$F$75:$F$400)</f>
        <v>0</v>
      </c>
      <c r="AG242" s="154">
        <f>SUMIF(Comp!$A$75:$A$400,Areas!A242,Comp!$G$75:$G$400)</f>
        <v>0</v>
      </c>
      <c r="AH242" s="154"/>
      <c r="AI242" s="154"/>
      <c r="AK242" s="143"/>
    </row>
    <row r="243" spans="1:37" s="134" customFormat="1">
      <c r="A243" s="140">
        <v>2.2200000000000002</v>
      </c>
      <c r="B243" s="134" t="str">
        <f>Comp!B223</f>
        <v>COMMISSARY SERVICE SPACES</v>
      </c>
      <c r="C243" s="149">
        <f>C244+C245+C252+C254+C257+C258</f>
        <v>102.66035588467517</v>
      </c>
      <c r="D243" s="149">
        <f>D244+D245+D252+D254+D257+D258</f>
        <v>102.66035588467517</v>
      </c>
      <c r="E243" s="149">
        <f>E244+E245+E252+E254+E257+E258</f>
        <v>14.864847910903192</v>
      </c>
      <c r="F243" s="149">
        <f>F244+F245+F252+F254+F257+F258</f>
        <v>49.11</v>
      </c>
      <c r="G243" s="409"/>
      <c r="H243" s="409"/>
      <c r="I243" s="409"/>
      <c r="J243" s="409"/>
      <c r="K243" s="409"/>
      <c r="L243" s="409"/>
      <c r="M243" s="409"/>
      <c r="N243" s="409"/>
      <c r="O243" s="409"/>
      <c r="P243" s="149">
        <f t="shared" si="75"/>
        <v>124.9</v>
      </c>
      <c r="Q243" s="149">
        <f t="shared" si="75"/>
        <v>124.9</v>
      </c>
      <c r="S243" s="153">
        <f>SUMIF('Flt III'!D:D,A243,'Flt III'!E:E)/3.2808^2</f>
        <v>0</v>
      </c>
      <c r="T243" s="153">
        <f>SUMIF('Flt IIa'!A:A,A243,'Flt IIa'!E:E)/3.2808^2</f>
        <v>0</v>
      </c>
      <c r="U243" s="153">
        <f>SUMIF('OPC Des'!A:A,A243,'OPC Des'!F:F)/3.2808^2</f>
        <v>0</v>
      </c>
      <c r="V243" s="153">
        <f>SUMIF('LCS 5'!A:A,A243,'LCS 5'!E:E)</f>
        <v>0</v>
      </c>
      <c r="W243" s="153">
        <f>SUMIF('USCG Summary'!$A$25:$A$50,A243,'USCG Summary'!$D$25:$D$50)/3.2808^2</f>
        <v>0</v>
      </c>
      <c r="X243" s="153">
        <f>SUMIF('USCG Summary'!$A$25:$A$50,A243,'USCG Summary'!$I$25:$I$50)/3.2808^2</f>
        <v>0</v>
      </c>
      <c r="Y243" s="153">
        <f>SUMIF('USCG Summary'!$A$25:$A$50,A243,'USCG Summary'!$L$25:$L$50)/3.2808^2</f>
        <v>0</v>
      </c>
      <c r="Z243" s="153">
        <f>SUMIF('USCG Summary'!$A$25:$A$50,A243,'USCG Summary'!$O$25:$O$50)/3.2808^2</f>
        <v>0</v>
      </c>
      <c r="AA243" s="153">
        <f>SUMIF('USCG Summary'!$A$25:$A$50,A243,'USCG Summary'!$P$25:$P$50)/3.2808^2</f>
        <v>0</v>
      </c>
      <c r="AB243" s="153">
        <f>SUMIF('USCG Summary'!$A$25:$A$50,A243,'USCG Summary'!$Q$25:$Q$50)/3.2808^2</f>
        <v>0</v>
      </c>
      <c r="AC243" s="153">
        <f>SUMIF('USCG Summary'!$A$25:$A$50,A243,'USCG Summary'!$T$25:$T$50)/3.2808^2</f>
        <v>0</v>
      </c>
      <c r="AD243" s="153">
        <f>SUMIF('USCG Summary'!$A$25:$A$50,A243,'USCG Summary'!$W$25:$W$50)/3.2808^2</f>
        <v>0</v>
      </c>
      <c r="AE243" s="153">
        <f>SUMIF('USCG Summary'!$A$25:$A$50,A243,'USCG Summary'!$Z$25:$Z$50)/3.2808^2</f>
        <v>0</v>
      </c>
      <c r="AF243" s="153">
        <f>SUMIF(Comp!$A$75:$A$400,Areas!A243,Comp!$F$75:$F$400)</f>
        <v>124.9</v>
      </c>
      <c r="AG243" s="153">
        <f>SUMIF(Comp!$A$75:$A$400,Areas!A243,Comp!$G$75:$G$400)</f>
        <v>124.9</v>
      </c>
      <c r="AH243" s="153"/>
      <c r="AI243" s="153"/>
      <c r="AK243" s="133"/>
    </row>
    <row r="244" spans="1:37" s="132" customFormat="1">
      <c r="A244" s="142">
        <v>2.2210000000000001</v>
      </c>
      <c r="B244" s="132" t="str">
        <f>Comp!B224</f>
        <v>FOOD PREPARATION SPACES</v>
      </c>
      <c r="C244" s="143">
        <f>S244</f>
        <v>0</v>
      </c>
      <c r="D244" s="143">
        <f>T244</f>
        <v>0</v>
      </c>
      <c r="E244" s="143">
        <f>U244</f>
        <v>0</v>
      </c>
      <c r="F244" s="143">
        <f>V244</f>
        <v>0</v>
      </c>
      <c r="G244" s="410"/>
      <c r="H244" s="410"/>
      <c r="I244" s="410"/>
      <c r="J244" s="410"/>
      <c r="K244" s="410"/>
      <c r="L244" s="410"/>
      <c r="M244" s="410"/>
      <c r="N244" s="410"/>
      <c r="O244" s="410"/>
      <c r="P244" s="143">
        <f t="shared" si="75"/>
        <v>0</v>
      </c>
      <c r="Q244" s="143">
        <f t="shared" si="75"/>
        <v>0</v>
      </c>
      <c r="S244" s="154">
        <f>SUMIF('Flt III'!D:D,A244,'Flt III'!E:E)/3.2808^2</f>
        <v>0</v>
      </c>
      <c r="T244" s="154">
        <f>SUMIF('Flt IIa'!A:A,A244,'Flt IIa'!E:E)/3.2808^2</f>
        <v>0</v>
      </c>
      <c r="U244" s="154">
        <f>SUMIF('OPC Des'!A:A,A244,'OPC Des'!F:F)/3.2808^2</f>
        <v>0</v>
      </c>
      <c r="V244" s="154">
        <f>SUMIF('LCS 5'!A:A,A244,'LCS 5'!E:E)</f>
        <v>0</v>
      </c>
      <c r="W244" s="154">
        <f>SUMIF('USCG Summary'!$A$25:$A$50,A244,'USCG Summary'!$D$25:$D$50)/3.2808^2</f>
        <v>0</v>
      </c>
      <c r="X244" s="154">
        <f>SUMIF('USCG Summary'!$A$25:$A$50,A244,'USCG Summary'!$I$25:$I$50)/3.2808^2</f>
        <v>0</v>
      </c>
      <c r="Y244" s="154">
        <f>SUMIF('USCG Summary'!$A$25:$A$50,A244,'USCG Summary'!$L$25:$L$50)/3.2808^2</f>
        <v>0</v>
      </c>
      <c r="Z244" s="154">
        <f>SUMIF('USCG Summary'!$A$25:$A$50,A244,'USCG Summary'!$O$25:$O$50)/3.2808^2</f>
        <v>0</v>
      </c>
      <c r="AA244" s="154">
        <f>SUMIF('USCG Summary'!$A$25:$A$50,A244,'USCG Summary'!$P$25:$P$50)/3.2808^2</f>
        <v>0</v>
      </c>
      <c r="AB244" s="154">
        <f>SUMIF('USCG Summary'!$A$25:$A$50,A244,'USCG Summary'!$Q$25:$Q$50)/3.2808^2</f>
        <v>0</v>
      </c>
      <c r="AC244" s="154">
        <f>SUMIF('USCG Summary'!$A$25:$A$50,A244,'USCG Summary'!$T$25:$T$50)/3.2808^2</f>
        <v>0</v>
      </c>
      <c r="AD244" s="154">
        <f>SUMIF('USCG Summary'!$A$25:$A$50,A244,'USCG Summary'!$W$25:$W$50)/3.2808^2</f>
        <v>0</v>
      </c>
      <c r="AE244" s="154">
        <f>SUMIF('USCG Summary'!$A$25:$A$50,A244,'USCG Summary'!$Z$25:$Z$50)/3.2808^2</f>
        <v>0</v>
      </c>
      <c r="AF244" s="154">
        <f>SUMIF(Comp!$A$75:$A$400,Areas!A244,Comp!$F$75:$F$400)</f>
        <v>0</v>
      </c>
      <c r="AG244" s="154">
        <f>SUMIF(Comp!$A$75:$A$400,Areas!A244,Comp!$G$75:$G$400)</f>
        <v>0</v>
      </c>
      <c r="AH244" s="154"/>
      <c r="AI244" s="154"/>
      <c r="AK244" s="143"/>
    </row>
    <row r="245" spans="1:37" s="132" customFormat="1">
      <c r="A245" s="142">
        <v>2.222</v>
      </c>
      <c r="B245" s="132" t="str">
        <f>Comp!B225</f>
        <v>GALLEY</v>
      </c>
      <c r="C245" s="143">
        <f>SUM(C246:C247)</f>
        <v>88.538750369317142</v>
      </c>
      <c r="D245" s="143">
        <f>T245</f>
        <v>88.538750369317142</v>
      </c>
      <c r="E245" s="143">
        <f>U245</f>
        <v>0</v>
      </c>
      <c r="F245" s="143">
        <f>V245</f>
        <v>40.74</v>
      </c>
      <c r="G245" s="410"/>
      <c r="H245" s="410"/>
      <c r="I245" s="410"/>
      <c r="J245" s="410"/>
      <c r="K245" s="410"/>
      <c r="L245" s="410"/>
      <c r="M245" s="410"/>
      <c r="N245" s="410"/>
      <c r="O245" s="410"/>
      <c r="P245" s="143">
        <f t="shared" si="75"/>
        <v>96.8</v>
      </c>
      <c r="Q245" s="143">
        <f t="shared" si="75"/>
        <v>96.8</v>
      </c>
      <c r="S245" s="154">
        <f>SUMIF('Flt III'!D:D,A245,'Flt III'!E:E)/3.2808^2</f>
        <v>0</v>
      </c>
      <c r="T245" s="154">
        <f>SUMIF('Flt IIa'!A:A,A245,'Flt IIa'!E:E)/3.2808^2</f>
        <v>88.538750369317142</v>
      </c>
      <c r="U245" s="154">
        <f>SUMIF('OPC Des'!A:A,A245,'OPC Des'!F:F)/3.2808^2</f>
        <v>0</v>
      </c>
      <c r="V245" s="154">
        <f>SUMIF('LCS 5'!A:A,A245,'LCS 5'!E:E)</f>
        <v>40.74</v>
      </c>
      <c r="W245" s="154">
        <f>SUMIF('USCG Summary'!$A$25:$A$50,A245,'USCG Summary'!$D$25:$D$50)/3.2808^2</f>
        <v>0</v>
      </c>
      <c r="X245" s="154">
        <f>SUMIF('USCG Summary'!$A$25:$A$50,A245,'USCG Summary'!$I$25:$I$50)/3.2808^2</f>
        <v>0</v>
      </c>
      <c r="Y245" s="154">
        <f>SUMIF('USCG Summary'!$A$25:$A$50,A245,'USCG Summary'!$L$25:$L$50)/3.2808^2</f>
        <v>0</v>
      </c>
      <c r="Z245" s="154">
        <f>SUMIF('USCG Summary'!$A$25:$A$50,A245,'USCG Summary'!$O$25:$O$50)/3.2808^2</f>
        <v>0</v>
      </c>
      <c r="AA245" s="154">
        <f>SUMIF('USCG Summary'!$A$25:$A$50,A245,'USCG Summary'!$P$25:$P$50)/3.2808^2</f>
        <v>0</v>
      </c>
      <c r="AB245" s="154">
        <f>SUMIF('USCG Summary'!$A$25:$A$50,A245,'USCG Summary'!$Q$25:$Q$50)/3.2808^2</f>
        <v>0</v>
      </c>
      <c r="AC245" s="154">
        <f>SUMIF('USCG Summary'!$A$25:$A$50,A245,'USCG Summary'!$T$25:$T$50)/3.2808^2</f>
        <v>0</v>
      </c>
      <c r="AD245" s="154">
        <f>SUMIF('USCG Summary'!$A$25:$A$50,A245,'USCG Summary'!$W$25:$W$50)/3.2808^2</f>
        <v>0</v>
      </c>
      <c r="AE245" s="154">
        <f>SUMIF('USCG Summary'!$A$25:$A$50,A245,'USCG Summary'!$Z$25:$Z$50)/3.2808^2</f>
        <v>0</v>
      </c>
      <c r="AF245" s="154">
        <f>SUMIF(Comp!$A$75:$A$400,Areas!A245,Comp!$F$75:$F$400)</f>
        <v>96.8</v>
      </c>
      <c r="AG245" s="154">
        <f>SUMIF(Comp!$A$75:$A$400,Areas!A245,Comp!$G$75:$G$400)</f>
        <v>96.8</v>
      </c>
      <c r="AH245" s="154"/>
      <c r="AI245" s="154"/>
      <c r="AK245" s="143"/>
    </row>
    <row r="246" spans="1:37" s="148" customFormat="1">
      <c r="A246" s="146" t="s">
        <v>1092</v>
      </c>
      <c r="C246" s="147">
        <f t="shared" ref="C246:F251" si="79">S246</f>
        <v>20.532071176935034</v>
      </c>
      <c r="D246" s="147">
        <f t="shared" si="79"/>
        <v>0</v>
      </c>
      <c r="E246" s="147">
        <f t="shared" si="79"/>
        <v>0</v>
      </c>
      <c r="F246" s="147">
        <f t="shared" si="79"/>
        <v>0</v>
      </c>
      <c r="G246" s="411"/>
      <c r="H246" s="411"/>
      <c r="I246" s="411"/>
      <c r="J246" s="411"/>
      <c r="K246" s="411"/>
      <c r="L246" s="411"/>
      <c r="M246" s="411"/>
      <c r="N246" s="411"/>
      <c r="O246" s="411"/>
      <c r="P246" s="147">
        <f t="shared" si="75"/>
        <v>0</v>
      </c>
      <c r="Q246" s="147">
        <f t="shared" si="75"/>
        <v>0</v>
      </c>
      <c r="S246" s="155">
        <f>SUMIF('Flt III'!D:D,A246,'Flt III'!E:E)/3.2808^2</f>
        <v>20.532071176935034</v>
      </c>
      <c r="T246" s="155">
        <f>SUMIF('Flt IIa'!A:A,A246,'Flt IIa'!E:E)/3.2808^2</f>
        <v>0</v>
      </c>
      <c r="U246" s="155">
        <f>SUMIF('OPC Des'!A:A,A246,'OPC Des'!F:F)/3.2808^2</f>
        <v>0</v>
      </c>
      <c r="V246" s="155">
        <f>SUMIF('LCS 5'!A:A,A246,'LCS 5'!E:E)</f>
        <v>0</v>
      </c>
      <c r="W246" s="155">
        <f>SUMIF('USCG Summary'!$A$25:$A$50,A246,'USCG Summary'!$D$25:$D$50)/3.2808^2</f>
        <v>0</v>
      </c>
      <c r="X246" s="155">
        <f>SUMIF('USCG Summary'!$A$25:$A$50,A246,'USCG Summary'!$I$25:$I$50)/3.2808^2</f>
        <v>0</v>
      </c>
      <c r="Y246" s="155">
        <f>SUMIF('USCG Summary'!$A$25:$A$50,A246,'USCG Summary'!$L$25:$L$50)/3.2808^2</f>
        <v>0</v>
      </c>
      <c r="Z246" s="155">
        <f>SUMIF('USCG Summary'!$A$25:$A$50,A246,'USCG Summary'!$O$25:$O$50)/3.2808^2</f>
        <v>0</v>
      </c>
      <c r="AA246" s="155">
        <f>SUMIF('USCG Summary'!$A$25:$A$50,A246,'USCG Summary'!$P$25:$P$50)/3.2808^2</f>
        <v>0</v>
      </c>
      <c r="AB246" s="155">
        <f>SUMIF('USCG Summary'!$A$25:$A$50,A246,'USCG Summary'!$Q$25:$Q$50)/3.2808^2</f>
        <v>0</v>
      </c>
      <c r="AC246" s="155">
        <f>SUMIF('USCG Summary'!$A$25:$A$50,A246,'USCG Summary'!$T$25:$T$50)/3.2808^2</f>
        <v>0</v>
      </c>
      <c r="AD246" s="155">
        <f>SUMIF('USCG Summary'!$A$25:$A$50,A246,'USCG Summary'!$W$25:$W$50)/3.2808^2</f>
        <v>0</v>
      </c>
      <c r="AE246" s="155">
        <f>SUMIF('USCG Summary'!$A$25:$A$50,A246,'USCG Summary'!$Z$25:$Z$50)/3.2808^2</f>
        <v>0</v>
      </c>
      <c r="AF246" s="155">
        <f>SUMIF(Comp!$A$75:$A$400,Areas!A246,Comp!$F$75:$F$400)</f>
        <v>0</v>
      </c>
      <c r="AG246" s="155">
        <f>SUMIF(Comp!$A$75:$A$400,Areas!A246,Comp!$G$75:$G$400)</f>
        <v>0</v>
      </c>
      <c r="AH246" s="155"/>
      <c r="AI246" s="155"/>
      <c r="AK246" s="147"/>
    </row>
    <row r="247" spans="1:37" s="148" customFormat="1">
      <c r="A247" s="146" t="s">
        <v>1089</v>
      </c>
      <c r="C247" s="147">
        <f t="shared" si="79"/>
        <v>68.006679192382109</v>
      </c>
      <c r="D247" s="147">
        <f t="shared" si="79"/>
        <v>0</v>
      </c>
      <c r="E247" s="147">
        <f t="shared" si="79"/>
        <v>0</v>
      </c>
      <c r="F247" s="147">
        <f t="shared" si="79"/>
        <v>0</v>
      </c>
      <c r="G247" s="411"/>
      <c r="H247" s="411"/>
      <c r="I247" s="411"/>
      <c r="J247" s="411"/>
      <c r="K247" s="411"/>
      <c r="L247" s="411"/>
      <c r="M247" s="411"/>
      <c r="N247" s="411"/>
      <c r="O247" s="411"/>
      <c r="P247" s="147">
        <f t="shared" si="75"/>
        <v>0</v>
      </c>
      <c r="Q247" s="147">
        <f t="shared" si="75"/>
        <v>0</v>
      </c>
      <c r="S247" s="155">
        <f>SUMIF('Flt III'!D:D,A247,'Flt III'!E:E)/3.2808^2</f>
        <v>68.006679192382109</v>
      </c>
      <c r="T247" s="155">
        <f>SUMIF('Flt IIa'!A:A,A247,'Flt IIa'!E:E)/3.2808^2</f>
        <v>0</v>
      </c>
      <c r="U247" s="155">
        <f>SUMIF('OPC Des'!A:A,A247,'OPC Des'!F:F)/3.2808^2</f>
        <v>0</v>
      </c>
      <c r="V247" s="155">
        <f>SUMIF('LCS 5'!A:A,A247,'LCS 5'!E:E)</f>
        <v>0</v>
      </c>
      <c r="W247" s="155">
        <f>SUMIF('USCG Summary'!$A$25:$A$50,A247,'USCG Summary'!$D$25:$D$50)/3.2808^2</f>
        <v>0</v>
      </c>
      <c r="X247" s="155">
        <f>SUMIF('USCG Summary'!$A$25:$A$50,A247,'USCG Summary'!$I$25:$I$50)/3.2808^2</f>
        <v>0</v>
      </c>
      <c r="Y247" s="155">
        <f>SUMIF('USCG Summary'!$A$25:$A$50,A247,'USCG Summary'!$L$25:$L$50)/3.2808^2</f>
        <v>0</v>
      </c>
      <c r="Z247" s="155">
        <f>SUMIF('USCG Summary'!$A$25:$A$50,A247,'USCG Summary'!$O$25:$O$50)/3.2808^2</f>
        <v>0</v>
      </c>
      <c r="AA247" s="155">
        <f>SUMIF('USCG Summary'!$A$25:$A$50,A247,'USCG Summary'!$P$25:$P$50)/3.2808^2</f>
        <v>0</v>
      </c>
      <c r="AB247" s="155">
        <f>SUMIF('USCG Summary'!$A$25:$A$50,A247,'USCG Summary'!$Q$25:$Q$50)/3.2808^2</f>
        <v>0</v>
      </c>
      <c r="AC247" s="155">
        <f>SUMIF('USCG Summary'!$A$25:$A$50,A247,'USCG Summary'!$T$25:$T$50)/3.2808^2</f>
        <v>0</v>
      </c>
      <c r="AD247" s="155">
        <f>SUMIF('USCG Summary'!$A$25:$A$50,A247,'USCG Summary'!$W$25:$W$50)/3.2808^2</f>
        <v>0</v>
      </c>
      <c r="AE247" s="155">
        <f>SUMIF('USCG Summary'!$A$25:$A$50,A247,'USCG Summary'!$Z$25:$Z$50)/3.2808^2</f>
        <v>0</v>
      </c>
      <c r="AF247" s="155">
        <f>SUMIF(Comp!$A$75:$A$400,Areas!A247,Comp!$F$75:$F$400)</f>
        <v>0</v>
      </c>
      <c r="AG247" s="155">
        <f>SUMIF(Comp!$A$75:$A$400,Areas!A247,Comp!$G$75:$G$400)</f>
        <v>0</v>
      </c>
      <c r="AH247" s="155"/>
      <c r="AI247" s="155"/>
      <c r="AK247" s="147"/>
    </row>
    <row r="248" spans="1:37" s="141" customFormat="1">
      <c r="A248" s="144">
        <v>2.2221000000000002</v>
      </c>
      <c r="B248" s="141" t="str">
        <f>Comp!B226</f>
        <v>COMMANDING OFFICER GALLEY</v>
      </c>
      <c r="C248" s="145">
        <f t="shared" si="79"/>
        <v>0</v>
      </c>
      <c r="D248" s="145">
        <f t="shared" si="79"/>
        <v>0</v>
      </c>
      <c r="E248" s="145">
        <f t="shared" si="79"/>
        <v>0</v>
      </c>
      <c r="F248" s="145">
        <f t="shared" si="79"/>
        <v>0</v>
      </c>
      <c r="G248" s="412"/>
      <c r="H248" s="412"/>
      <c r="I248" s="412"/>
      <c r="J248" s="412"/>
      <c r="K248" s="412"/>
      <c r="L248" s="412"/>
      <c r="M248" s="412"/>
      <c r="N248" s="412"/>
      <c r="O248" s="412"/>
      <c r="P248" s="145">
        <f t="shared" si="75"/>
        <v>10.6</v>
      </c>
      <c r="Q248" s="145">
        <f t="shared" si="75"/>
        <v>10.6</v>
      </c>
      <c r="S248" s="156">
        <f>SUMIF('Flt III'!D:D,A248,'Flt III'!E:E)/3.2808^2</f>
        <v>0</v>
      </c>
      <c r="T248" s="156">
        <f>SUMIF('Flt IIa'!A:A,A248,'Flt IIa'!E:E)/3.2808^2</f>
        <v>0</v>
      </c>
      <c r="U248" s="156">
        <f>SUMIF('OPC Des'!A:A,A248,'OPC Des'!F:F)/3.2808^2</f>
        <v>0</v>
      </c>
      <c r="V248" s="156">
        <f>SUMIF('LCS 5'!A:A,A248,'LCS 5'!E:E)</f>
        <v>0</v>
      </c>
      <c r="W248" s="156">
        <f>SUMIF('USCG Summary'!$A$25:$A$50,A248,'USCG Summary'!$D$25:$D$50)/3.2808^2</f>
        <v>0</v>
      </c>
      <c r="X248" s="156">
        <f>SUMIF('USCG Summary'!$A$25:$A$50,A248,'USCG Summary'!$I$25:$I$50)/3.2808^2</f>
        <v>0</v>
      </c>
      <c r="Y248" s="156">
        <f>SUMIF('USCG Summary'!$A$25:$A$50,A248,'USCG Summary'!$L$25:$L$50)/3.2808^2</f>
        <v>0</v>
      </c>
      <c r="Z248" s="156">
        <f>SUMIF('USCG Summary'!$A$25:$A$50,A248,'USCG Summary'!$O$25:$O$50)/3.2808^2</f>
        <v>0</v>
      </c>
      <c r="AA248" s="156">
        <f>SUMIF('USCG Summary'!$A$25:$A$50,A248,'USCG Summary'!$P$25:$P$50)/3.2808^2</f>
        <v>0</v>
      </c>
      <c r="AB248" s="156">
        <f>SUMIF('USCG Summary'!$A$25:$A$50,A248,'USCG Summary'!$Q$25:$Q$50)/3.2808^2</f>
        <v>0</v>
      </c>
      <c r="AC248" s="156">
        <f>SUMIF('USCG Summary'!$A$25:$A$50,A248,'USCG Summary'!$T$25:$T$50)/3.2808^2</f>
        <v>0</v>
      </c>
      <c r="AD248" s="156">
        <f>SUMIF('USCG Summary'!$A$25:$A$50,A248,'USCG Summary'!$W$25:$W$50)/3.2808^2</f>
        <v>0</v>
      </c>
      <c r="AE248" s="156">
        <f>SUMIF('USCG Summary'!$A$25:$A$50,A248,'USCG Summary'!$Z$25:$Z$50)/3.2808^2</f>
        <v>0</v>
      </c>
      <c r="AF248" s="156">
        <f>SUMIF(Comp!$A$75:$A$400,Areas!A248,Comp!$F$75:$F$400)</f>
        <v>10.6</v>
      </c>
      <c r="AG248" s="156">
        <f>SUMIF(Comp!$A$75:$A$400,Areas!A248,Comp!$G$75:$G$400)</f>
        <v>10.6</v>
      </c>
      <c r="AH248" s="156"/>
      <c r="AI248" s="156"/>
      <c r="AK248" s="145"/>
    </row>
    <row r="249" spans="1:37" s="141" customFormat="1">
      <c r="A249" s="144">
        <v>2.2222</v>
      </c>
      <c r="B249" s="141" t="str">
        <f>Comp!B227</f>
        <v>WARD ROOM GALLEY</v>
      </c>
      <c r="C249" s="145">
        <f t="shared" si="79"/>
        <v>0</v>
      </c>
      <c r="D249" s="145">
        <f t="shared" si="79"/>
        <v>0</v>
      </c>
      <c r="E249" s="145">
        <f t="shared" si="79"/>
        <v>0</v>
      </c>
      <c r="F249" s="145">
        <f t="shared" si="79"/>
        <v>0</v>
      </c>
      <c r="G249" s="412"/>
      <c r="H249" s="412"/>
      <c r="I249" s="412"/>
      <c r="J249" s="412"/>
      <c r="K249" s="412"/>
      <c r="L249" s="412"/>
      <c r="M249" s="412"/>
      <c r="N249" s="412"/>
      <c r="O249" s="412"/>
      <c r="P249" s="145">
        <f t="shared" si="75"/>
        <v>12.1</v>
      </c>
      <c r="Q249" s="145">
        <f t="shared" si="75"/>
        <v>12.1</v>
      </c>
      <c r="S249" s="156">
        <f>SUMIF('Flt III'!D:D,A249,'Flt III'!E:E)/3.2808^2</f>
        <v>0</v>
      </c>
      <c r="T249" s="156">
        <f>SUMIF('Flt IIa'!A:A,A249,'Flt IIa'!E:E)/3.2808^2</f>
        <v>0</v>
      </c>
      <c r="U249" s="156">
        <f>SUMIF('OPC Des'!A:A,A249,'OPC Des'!F:F)/3.2808^2</f>
        <v>0</v>
      </c>
      <c r="V249" s="156">
        <f>SUMIF('LCS 5'!A:A,A249,'LCS 5'!E:E)</f>
        <v>0</v>
      </c>
      <c r="W249" s="156">
        <f>SUMIF('USCG Summary'!$A$25:$A$50,A249,'USCG Summary'!$D$25:$D$50)/3.2808^2</f>
        <v>0</v>
      </c>
      <c r="X249" s="156">
        <f>SUMIF('USCG Summary'!$A$25:$A$50,A249,'USCG Summary'!$I$25:$I$50)/3.2808^2</f>
        <v>0</v>
      </c>
      <c r="Y249" s="156">
        <f>SUMIF('USCG Summary'!$A$25:$A$50,A249,'USCG Summary'!$L$25:$L$50)/3.2808^2</f>
        <v>0</v>
      </c>
      <c r="Z249" s="156">
        <f>SUMIF('USCG Summary'!$A$25:$A$50,A249,'USCG Summary'!$O$25:$O$50)/3.2808^2</f>
        <v>0</v>
      </c>
      <c r="AA249" s="156">
        <f>SUMIF('USCG Summary'!$A$25:$A$50,A249,'USCG Summary'!$P$25:$P$50)/3.2808^2</f>
        <v>0</v>
      </c>
      <c r="AB249" s="156">
        <f>SUMIF('USCG Summary'!$A$25:$A$50,A249,'USCG Summary'!$Q$25:$Q$50)/3.2808^2</f>
        <v>0</v>
      </c>
      <c r="AC249" s="156">
        <f>SUMIF('USCG Summary'!$A$25:$A$50,A249,'USCG Summary'!$T$25:$T$50)/3.2808^2</f>
        <v>0</v>
      </c>
      <c r="AD249" s="156">
        <f>SUMIF('USCG Summary'!$A$25:$A$50,A249,'USCG Summary'!$W$25:$W$50)/3.2808^2</f>
        <v>0</v>
      </c>
      <c r="AE249" s="156">
        <f>SUMIF('USCG Summary'!$A$25:$A$50,A249,'USCG Summary'!$Z$25:$Z$50)/3.2808^2</f>
        <v>0</v>
      </c>
      <c r="AF249" s="156">
        <f>SUMIF(Comp!$A$75:$A$400,Areas!A249,Comp!$F$75:$F$400)</f>
        <v>12.1</v>
      </c>
      <c r="AG249" s="156">
        <f>SUMIF(Comp!$A$75:$A$400,Areas!A249,Comp!$G$75:$G$400)</f>
        <v>12.1</v>
      </c>
      <c r="AH249" s="156"/>
      <c r="AI249" s="156"/>
      <c r="AK249" s="145"/>
    </row>
    <row r="250" spans="1:37" s="141" customFormat="1">
      <c r="A250" s="144">
        <v>2.2223000000000002</v>
      </c>
      <c r="B250" s="141" t="str">
        <f>Comp!B228</f>
        <v>CPO GALLEY</v>
      </c>
      <c r="C250" s="145">
        <f t="shared" si="79"/>
        <v>0</v>
      </c>
      <c r="D250" s="145">
        <f t="shared" si="79"/>
        <v>0</v>
      </c>
      <c r="E250" s="145">
        <f t="shared" si="79"/>
        <v>0</v>
      </c>
      <c r="F250" s="145">
        <f t="shared" si="79"/>
        <v>0</v>
      </c>
      <c r="G250" s="412"/>
      <c r="H250" s="412"/>
      <c r="I250" s="412"/>
      <c r="J250" s="412"/>
      <c r="K250" s="412"/>
      <c r="L250" s="412"/>
      <c r="M250" s="412"/>
      <c r="N250" s="412"/>
      <c r="O250" s="412"/>
      <c r="P250" s="145">
        <f t="shared" si="75"/>
        <v>9.1</v>
      </c>
      <c r="Q250" s="145">
        <f t="shared" si="75"/>
        <v>9.1</v>
      </c>
      <c r="S250" s="156">
        <f>SUMIF('Flt III'!D:D,A250,'Flt III'!E:E)/3.2808^2</f>
        <v>0</v>
      </c>
      <c r="T250" s="156">
        <f>SUMIF('Flt IIa'!A:A,A250,'Flt IIa'!E:E)/3.2808^2</f>
        <v>0</v>
      </c>
      <c r="U250" s="156">
        <f>SUMIF('OPC Des'!A:A,A250,'OPC Des'!F:F)/3.2808^2</f>
        <v>0</v>
      </c>
      <c r="V250" s="156">
        <f>SUMIF('LCS 5'!A:A,A250,'LCS 5'!E:E)</f>
        <v>0</v>
      </c>
      <c r="W250" s="156">
        <f>SUMIF('USCG Summary'!$A$25:$A$50,A250,'USCG Summary'!$D$25:$D$50)/3.2808^2</f>
        <v>0</v>
      </c>
      <c r="X250" s="156">
        <f>SUMIF('USCG Summary'!$A$25:$A$50,A250,'USCG Summary'!$I$25:$I$50)/3.2808^2</f>
        <v>0</v>
      </c>
      <c r="Y250" s="156">
        <f>SUMIF('USCG Summary'!$A$25:$A$50,A250,'USCG Summary'!$L$25:$L$50)/3.2808^2</f>
        <v>0</v>
      </c>
      <c r="Z250" s="156">
        <f>SUMIF('USCG Summary'!$A$25:$A$50,A250,'USCG Summary'!$O$25:$O$50)/3.2808^2</f>
        <v>0</v>
      </c>
      <c r="AA250" s="156">
        <f>SUMIF('USCG Summary'!$A$25:$A$50,A250,'USCG Summary'!$P$25:$P$50)/3.2808^2</f>
        <v>0</v>
      </c>
      <c r="AB250" s="156">
        <f>SUMIF('USCG Summary'!$A$25:$A$50,A250,'USCG Summary'!$Q$25:$Q$50)/3.2808^2</f>
        <v>0</v>
      </c>
      <c r="AC250" s="156">
        <f>SUMIF('USCG Summary'!$A$25:$A$50,A250,'USCG Summary'!$T$25:$T$50)/3.2808^2</f>
        <v>0</v>
      </c>
      <c r="AD250" s="156">
        <f>SUMIF('USCG Summary'!$A$25:$A$50,A250,'USCG Summary'!$W$25:$W$50)/3.2808^2</f>
        <v>0</v>
      </c>
      <c r="AE250" s="156">
        <f>SUMIF('USCG Summary'!$A$25:$A$50,A250,'USCG Summary'!$Z$25:$Z$50)/3.2808^2</f>
        <v>0</v>
      </c>
      <c r="AF250" s="156">
        <f>SUMIF(Comp!$A$75:$A$400,Areas!A250,Comp!$F$75:$F$400)</f>
        <v>9.1</v>
      </c>
      <c r="AG250" s="156">
        <f>SUMIF(Comp!$A$75:$A$400,Areas!A250,Comp!$G$75:$G$400)</f>
        <v>9.1</v>
      </c>
      <c r="AH250" s="156"/>
      <c r="AI250" s="156"/>
      <c r="AK250" s="145"/>
    </row>
    <row r="251" spans="1:37" s="141" customFormat="1">
      <c r="A251" s="144">
        <v>2.2223999999999999</v>
      </c>
      <c r="B251" s="141" t="str">
        <f>Comp!B229</f>
        <v>CREW GALLEY</v>
      </c>
      <c r="C251" s="145">
        <f t="shared" si="79"/>
        <v>0</v>
      </c>
      <c r="D251" s="145">
        <f t="shared" si="79"/>
        <v>0</v>
      </c>
      <c r="E251" s="145">
        <f t="shared" si="79"/>
        <v>0</v>
      </c>
      <c r="F251" s="145">
        <f t="shared" si="79"/>
        <v>0</v>
      </c>
      <c r="G251" s="412"/>
      <c r="H251" s="412"/>
      <c r="I251" s="412"/>
      <c r="J251" s="412"/>
      <c r="K251" s="412"/>
      <c r="L251" s="412"/>
      <c r="M251" s="412"/>
      <c r="N251" s="412"/>
      <c r="O251" s="412"/>
      <c r="P251" s="145">
        <f t="shared" si="75"/>
        <v>64.900000000000006</v>
      </c>
      <c r="Q251" s="145">
        <f t="shared" si="75"/>
        <v>64.900000000000006</v>
      </c>
      <c r="S251" s="156">
        <f>SUMIF('Flt III'!D:D,A251,'Flt III'!E:E)/3.2808^2</f>
        <v>0</v>
      </c>
      <c r="T251" s="156">
        <f>SUMIF('Flt IIa'!A:A,A251,'Flt IIa'!E:E)/3.2808^2</f>
        <v>0</v>
      </c>
      <c r="U251" s="156">
        <f>SUMIF('OPC Des'!A:A,A251,'OPC Des'!F:F)/3.2808^2</f>
        <v>0</v>
      </c>
      <c r="V251" s="156">
        <f>SUMIF('LCS 5'!A:A,A251,'LCS 5'!E:E)</f>
        <v>0</v>
      </c>
      <c r="W251" s="156">
        <f>SUMIF('USCG Summary'!$A$25:$A$50,A251,'USCG Summary'!$D$25:$D$50)/3.2808^2</f>
        <v>0</v>
      </c>
      <c r="X251" s="156">
        <f>SUMIF('USCG Summary'!$A$25:$A$50,A251,'USCG Summary'!$I$25:$I$50)/3.2808^2</f>
        <v>0</v>
      </c>
      <c r="Y251" s="156">
        <f>SUMIF('USCG Summary'!$A$25:$A$50,A251,'USCG Summary'!$L$25:$L$50)/3.2808^2</f>
        <v>0</v>
      </c>
      <c r="Z251" s="156">
        <f>SUMIF('USCG Summary'!$A$25:$A$50,A251,'USCG Summary'!$O$25:$O$50)/3.2808^2</f>
        <v>0</v>
      </c>
      <c r="AA251" s="156">
        <f>SUMIF('USCG Summary'!$A$25:$A$50,A251,'USCG Summary'!$P$25:$P$50)/3.2808^2</f>
        <v>0</v>
      </c>
      <c r="AB251" s="156">
        <f>SUMIF('USCG Summary'!$A$25:$A$50,A251,'USCG Summary'!$Q$25:$Q$50)/3.2808^2</f>
        <v>0</v>
      </c>
      <c r="AC251" s="156">
        <f>SUMIF('USCG Summary'!$A$25:$A$50,A251,'USCG Summary'!$T$25:$T$50)/3.2808^2</f>
        <v>0</v>
      </c>
      <c r="AD251" s="156">
        <f>SUMIF('USCG Summary'!$A$25:$A$50,A251,'USCG Summary'!$W$25:$W$50)/3.2808^2</f>
        <v>0</v>
      </c>
      <c r="AE251" s="156">
        <f>SUMIF('USCG Summary'!$A$25:$A$50,A251,'USCG Summary'!$Z$25:$Z$50)/3.2808^2</f>
        <v>0</v>
      </c>
      <c r="AF251" s="156">
        <f>SUMIF(Comp!$A$75:$A$400,Areas!A251,Comp!$F$75:$F$400)</f>
        <v>64.900000000000006</v>
      </c>
      <c r="AG251" s="156">
        <f>SUMIF(Comp!$A$75:$A$400,Areas!A251,Comp!$G$75:$G$400)</f>
        <v>64.900000000000006</v>
      </c>
      <c r="AH251" s="156"/>
      <c r="AI251" s="156"/>
      <c r="AK251" s="145"/>
    </row>
    <row r="252" spans="1:37" s="132" customFormat="1">
      <c r="A252" s="142">
        <v>2.2229999999999999</v>
      </c>
      <c r="B252" s="132" t="str">
        <f>Comp!B230</f>
        <v>PANTRIES</v>
      </c>
      <c r="C252" s="143">
        <f>SUM(C253)</f>
        <v>0</v>
      </c>
      <c r="D252" s="143">
        <f>SUM(D253)</f>
        <v>0</v>
      </c>
      <c r="E252" s="143">
        <f>SUM(E253)</f>
        <v>0</v>
      </c>
      <c r="F252" s="143">
        <f>SUM(F253)</f>
        <v>0</v>
      </c>
      <c r="G252" s="410"/>
      <c r="H252" s="410"/>
      <c r="I252" s="410"/>
      <c r="J252" s="410"/>
      <c r="K252" s="410"/>
      <c r="L252" s="410"/>
      <c r="M252" s="410"/>
      <c r="N252" s="410"/>
      <c r="O252" s="410"/>
      <c r="P252" s="143">
        <f t="shared" si="75"/>
        <v>7.5</v>
      </c>
      <c r="Q252" s="143">
        <f t="shared" si="75"/>
        <v>7.5</v>
      </c>
      <c r="S252" s="154">
        <f>SUMIF('Flt III'!D:D,A252,'Flt III'!E:E)/3.2808^2</f>
        <v>0</v>
      </c>
      <c r="T252" s="154">
        <f>SUMIF('Flt IIa'!A:A,A252,'Flt IIa'!E:E)/3.2808^2</f>
        <v>0</v>
      </c>
      <c r="U252" s="154">
        <f>SUMIF('OPC Des'!A:A,A252,'OPC Des'!F:F)/3.2808^2</f>
        <v>0</v>
      </c>
      <c r="V252" s="154">
        <f>SUMIF('LCS 5'!A:A,A252,'LCS 5'!E:E)</f>
        <v>0</v>
      </c>
      <c r="W252" s="154">
        <f>SUMIF('USCG Summary'!$A$25:$A$50,A252,'USCG Summary'!$D$25:$D$50)/3.2808^2</f>
        <v>0</v>
      </c>
      <c r="X252" s="154">
        <f>SUMIF('USCG Summary'!$A$25:$A$50,A252,'USCG Summary'!$I$25:$I$50)/3.2808^2</f>
        <v>0</v>
      </c>
      <c r="Y252" s="154">
        <f>SUMIF('USCG Summary'!$A$25:$A$50,A252,'USCG Summary'!$L$25:$L$50)/3.2808^2</f>
        <v>0</v>
      </c>
      <c r="Z252" s="154">
        <f>SUMIF('USCG Summary'!$A$25:$A$50,A252,'USCG Summary'!$O$25:$O$50)/3.2808^2</f>
        <v>0</v>
      </c>
      <c r="AA252" s="154">
        <f>SUMIF('USCG Summary'!$A$25:$A$50,A252,'USCG Summary'!$P$25:$P$50)/3.2808^2</f>
        <v>0</v>
      </c>
      <c r="AB252" s="154">
        <f>SUMIF('USCG Summary'!$A$25:$A$50,A252,'USCG Summary'!$Q$25:$Q$50)/3.2808^2</f>
        <v>0</v>
      </c>
      <c r="AC252" s="154">
        <f>SUMIF('USCG Summary'!$A$25:$A$50,A252,'USCG Summary'!$T$25:$T$50)/3.2808^2</f>
        <v>0</v>
      </c>
      <c r="AD252" s="154">
        <f>SUMIF('USCG Summary'!$A$25:$A$50,A252,'USCG Summary'!$W$25:$W$50)/3.2808^2</f>
        <v>0</v>
      </c>
      <c r="AE252" s="154">
        <f>SUMIF('USCG Summary'!$A$25:$A$50,A252,'USCG Summary'!$Z$25:$Z$50)/3.2808^2</f>
        <v>0</v>
      </c>
      <c r="AF252" s="154">
        <f>SUMIF(Comp!$A$75:$A$400,Areas!A252,Comp!$F$75:$F$400)</f>
        <v>7.5</v>
      </c>
      <c r="AG252" s="154">
        <f>SUMIF(Comp!$A$75:$A$400,Areas!A252,Comp!$G$75:$G$400)</f>
        <v>7.5</v>
      </c>
      <c r="AH252" s="154"/>
      <c r="AI252" s="154"/>
      <c r="AK252" s="143"/>
    </row>
    <row r="253" spans="1:37" s="141" customFormat="1">
      <c r="A253" s="144">
        <v>2.2233000000000001</v>
      </c>
      <c r="B253" s="141" t="str">
        <f>Comp!B231</f>
        <v>CPO PANTRY</v>
      </c>
      <c r="C253" s="145">
        <f>S253</f>
        <v>0</v>
      </c>
      <c r="D253" s="145">
        <f>T253</f>
        <v>0</v>
      </c>
      <c r="E253" s="145">
        <f>U253</f>
        <v>0</v>
      </c>
      <c r="F253" s="145">
        <f>V253</f>
        <v>0</v>
      </c>
      <c r="G253" s="412"/>
      <c r="H253" s="412"/>
      <c r="I253" s="412"/>
      <c r="J253" s="412"/>
      <c r="K253" s="412"/>
      <c r="L253" s="412"/>
      <c r="M253" s="412"/>
      <c r="N253" s="412"/>
      <c r="O253" s="412"/>
      <c r="P253" s="145">
        <f t="shared" si="75"/>
        <v>7.5</v>
      </c>
      <c r="Q253" s="145">
        <f t="shared" si="75"/>
        <v>7.5</v>
      </c>
      <c r="S253" s="156">
        <f>SUMIF('Flt III'!D:D,A253,'Flt III'!E:E)/3.2808^2</f>
        <v>0</v>
      </c>
      <c r="T253" s="156">
        <f>SUMIF('Flt IIa'!A:A,A253,'Flt IIa'!E:E)/3.2808^2</f>
        <v>0</v>
      </c>
      <c r="U253" s="156">
        <f>SUMIF('OPC Des'!A:A,A253,'OPC Des'!F:F)/3.2808^2</f>
        <v>0</v>
      </c>
      <c r="V253" s="156">
        <f>SUMIF('LCS 5'!A:A,A253,'LCS 5'!E:E)</f>
        <v>0</v>
      </c>
      <c r="W253" s="156">
        <f>SUMIF('USCG Summary'!$A$25:$A$50,A253,'USCG Summary'!$D$25:$D$50)/3.2808^2</f>
        <v>0</v>
      </c>
      <c r="X253" s="156">
        <f>SUMIF('USCG Summary'!$A$25:$A$50,A253,'USCG Summary'!$I$25:$I$50)/3.2808^2</f>
        <v>0</v>
      </c>
      <c r="Y253" s="156">
        <f>SUMIF('USCG Summary'!$A$25:$A$50,A253,'USCG Summary'!$L$25:$L$50)/3.2808^2</f>
        <v>0</v>
      </c>
      <c r="Z253" s="156">
        <f>SUMIF('USCG Summary'!$A$25:$A$50,A253,'USCG Summary'!$O$25:$O$50)/3.2808^2</f>
        <v>0</v>
      </c>
      <c r="AA253" s="156">
        <f>SUMIF('USCG Summary'!$A$25:$A$50,A253,'USCG Summary'!$P$25:$P$50)/3.2808^2</f>
        <v>0</v>
      </c>
      <c r="AB253" s="156">
        <f>SUMIF('USCG Summary'!$A$25:$A$50,A253,'USCG Summary'!$Q$25:$Q$50)/3.2808^2</f>
        <v>0</v>
      </c>
      <c r="AC253" s="156">
        <f>SUMIF('USCG Summary'!$A$25:$A$50,A253,'USCG Summary'!$T$25:$T$50)/3.2808^2</f>
        <v>0</v>
      </c>
      <c r="AD253" s="156">
        <f>SUMIF('USCG Summary'!$A$25:$A$50,A253,'USCG Summary'!$W$25:$W$50)/3.2808^2</f>
        <v>0</v>
      </c>
      <c r="AE253" s="156">
        <f>SUMIF('USCG Summary'!$A$25:$A$50,A253,'USCG Summary'!$Z$25:$Z$50)/3.2808^2</f>
        <v>0</v>
      </c>
      <c r="AF253" s="156">
        <f>SUMIF(Comp!$A$75:$A$400,Areas!A253,Comp!$F$75:$F$400)</f>
        <v>7.5</v>
      </c>
      <c r="AG253" s="156">
        <f>SUMIF(Comp!$A$75:$A$400,Areas!A253,Comp!$G$75:$G$400)</f>
        <v>7.5</v>
      </c>
      <c r="AH253" s="156"/>
      <c r="AI253" s="156"/>
      <c r="AK253" s="145"/>
    </row>
    <row r="254" spans="1:37" s="132" customFormat="1">
      <c r="A254" s="142">
        <v>2.2240000000000002</v>
      </c>
      <c r="B254" s="132" t="str">
        <f>Comp!B232</f>
        <v>SCULLERY</v>
      </c>
      <c r="C254" s="143">
        <f>SUM(C255)</f>
        <v>14.121605515358032</v>
      </c>
      <c r="D254" s="143">
        <f>T254</f>
        <v>14.121605515358032</v>
      </c>
      <c r="E254" s="143">
        <f>U254</f>
        <v>14.864847910903192</v>
      </c>
      <c r="F254" s="143">
        <f>V254</f>
        <v>8.3699999999999992</v>
      </c>
      <c r="G254" s="410"/>
      <c r="H254" s="410"/>
      <c r="I254" s="410"/>
      <c r="J254" s="410"/>
      <c r="K254" s="410"/>
      <c r="L254" s="410"/>
      <c r="M254" s="410"/>
      <c r="N254" s="410"/>
      <c r="O254" s="410"/>
      <c r="P254" s="143">
        <f t="shared" si="75"/>
        <v>20.3</v>
      </c>
      <c r="Q254" s="143">
        <f t="shared" si="75"/>
        <v>20.3</v>
      </c>
      <c r="S254" s="154">
        <f>SUMIF('Flt III'!D:D,A254,'Flt III'!E:E)/3.2808^2</f>
        <v>0</v>
      </c>
      <c r="T254" s="154">
        <f>SUMIF('Flt IIa'!A:A,A254,'Flt IIa'!E:E)/3.2808^2</f>
        <v>14.121605515358032</v>
      </c>
      <c r="U254" s="154">
        <f>SUMIF('OPC Des'!A:A,A254,'OPC Des'!F:F)/3.2808^2</f>
        <v>14.864847910903192</v>
      </c>
      <c r="V254" s="154">
        <f>SUMIF('LCS 5'!A:A,A254,'LCS 5'!E:E)</f>
        <v>8.3699999999999992</v>
      </c>
      <c r="W254" s="154">
        <f>SUMIF('USCG Summary'!$A$25:$A$50,A254,'USCG Summary'!$D$25:$D$50)/3.2808^2</f>
        <v>0</v>
      </c>
      <c r="X254" s="154">
        <f>SUMIF('USCG Summary'!$A$25:$A$50,A254,'USCG Summary'!$I$25:$I$50)/3.2808^2</f>
        <v>0</v>
      </c>
      <c r="Y254" s="154">
        <f>SUMIF('USCG Summary'!$A$25:$A$50,A254,'USCG Summary'!$L$25:$L$50)/3.2808^2</f>
        <v>0</v>
      </c>
      <c r="Z254" s="154">
        <f>SUMIF('USCG Summary'!$A$25:$A$50,A254,'USCG Summary'!$O$25:$O$50)/3.2808^2</f>
        <v>0</v>
      </c>
      <c r="AA254" s="154">
        <f>SUMIF('USCG Summary'!$A$25:$A$50,A254,'USCG Summary'!$P$25:$P$50)/3.2808^2</f>
        <v>0</v>
      </c>
      <c r="AB254" s="154">
        <f>SUMIF('USCG Summary'!$A$25:$A$50,A254,'USCG Summary'!$Q$25:$Q$50)/3.2808^2</f>
        <v>0</v>
      </c>
      <c r="AC254" s="154">
        <f>SUMIF('USCG Summary'!$A$25:$A$50,A254,'USCG Summary'!$T$25:$T$50)/3.2808^2</f>
        <v>0</v>
      </c>
      <c r="AD254" s="154">
        <f>SUMIF('USCG Summary'!$A$25:$A$50,A254,'USCG Summary'!$W$25:$W$50)/3.2808^2</f>
        <v>0</v>
      </c>
      <c r="AE254" s="154">
        <f>SUMIF('USCG Summary'!$A$25:$A$50,A254,'USCG Summary'!$Z$25:$Z$50)/3.2808^2</f>
        <v>0</v>
      </c>
      <c r="AF254" s="154">
        <f>SUMIF(Comp!$A$75:$A$400,Areas!A254,Comp!$F$75:$F$400)</f>
        <v>20.3</v>
      </c>
      <c r="AG254" s="154">
        <f>SUMIF(Comp!$A$75:$A$400,Areas!A254,Comp!$G$75:$G$400)</f>
        <v>20.3</v>
      </c>
      <c r="AH254" s="154"/>
      <c r="AI254" s="154"/>
      <c r="AK254" s="143"/>
    </row>
    <row r="255" spans="1:37" s="148" customFormat="1">
      <c r="A255" s="146" t="s">
        <v>1086</v>
      </c>
      <c r="C255" s="147">
        <f t="shared" ref="C255:F255" si="80">S255</f>
        <v>14.121605515358032</v>
      </c>
      <c r="D255" s="147">
        <f t="shared" si="80"/>
        <v>0</v>
      </c>
      <c r="E255" s="147">
        <f t="shared" si="80"/>
        <v>0</v>
      </c>
      <c r="F255" s="147">
        <f t="shared" si="80"/>
        <v>0</v>
      </c>
      <c r="G255" s="411"/>
      <c r="H255" s="411"/>
      <c r="I255" s="411"/>
      <c r="J255" s="411"/>
      <c r="K255" s="411"/>
      <c r="L255" s="411"/>
      <c r="M255" s="411"/>
      <c r="N255" s="411"/>
      <c r="O255" s="411"/>
      <c r="P255" s="147">
        <f t="shared" si="75"/>
        <v>0</v>
      </c>
      <c r="Q255" s="147">
        <f t="shared" si="75"/>
        <v>0</v>
      </c>
      <c r="S255" s="155">
        <f>SUMIF('Flt III'!D:D,A255,'Flt III'!E:E)/3.2808^2</f>
        <v>14.121605515358032</v>
      </c>
      <c r="T255" s="155">
        <f>SUMIF('Flt IIa'!A:A,A255,'Flt IIa'!E:E)/3.2808^2</f>
        <v>0</v>
      </c>
      <c r="U255" s="155">
        <f>SUMIF('OPC Des'!A:A,A255,'OPC Des'!F:F)/3.2808^2</f>
        <v>0</v>
      </c>
      <c r="V255" s="155">
        <f>SUMIF('LCS 5'!A:A,A255,'LCS 5'!E:E)</f>
        <v>0</v>
      </c>
      <c r="W255" s="155">
        <f>SUMIF('USCG Summary'!$A$25:$A$50,A255,'USCG Summary'!$D$25:$D$50)/3.2808^2</f>
        <v>0</v>
      </c>
      <c r="X255" s="155">
        <f>SUMIF('USCG Summary'!$A$25:$A$50,A255,'USCG Summary'!$I$25:$I$50)/3.2808^2</f>
        <v>0</v>
      </c>
      <c r="Y255" s="155">
        <f>SUMIF('USCG Summary'!$A$25:$A$50,A255,'USCG Summary'!$L$25:$L$50)/3.2808^2</f>
        <v>0</v>
      </c>
      <c r="Z255" s="155">
        <f>SUMIF('USCG Summary'!$A$25:$A$50,A255,'USCG Summary'!$O$25:$O$50)/3.2808^2</f>
        <v>0</v>
      </c>
      <c r="AA255" s="155">
        <f>SUMIF('USCG Summary'!$A$25:$A$50,A255,'USCG Summary'!$P$25:$P$50)/3.2808^2</f>
        <v>0</v>
      </c>
      <c r="AB255" s="155">
        <f>SUMIF('USCG Summary'!$A$25:$A$50,A255,'USCG Summary'!$Q$25:$Q$50)/3.2808^2</f>
        <v>0</v>
      </c>
      <c r="AC255" s="155">
        <f>SUMIF('USCG Summary'!$A$25:$A$50,A255,'USCG Summary'!$T$25:$T$50)/3.2808^2</f>
        <v>0</v>
      </c>
      <c r="AD255" s="155">
        <f>SUMIF('USCG Summary'!$A$25:$A$50,A255,'USCG Summary'!$W$25:$W$50)/3.2808^2</f>
        <v>0</v>
      </c>
      <c r="AE255" s="155">
        <f>SUMIF('USCG Summary'!$A$25:$A$50,A255,'USCG Summary'!$Z$25:$Z$50)/3.2808^2</f>
        <v>0</v>
      </c>
      <c r="AF255" s="155">
        <f>SUMIF(Comp!$A$75:$A$400,Areas!A255,Comp!$F$75:$F$400)</f>
        <v>0</v>
      </c>
      <c r="AG255" s="155">
        <f>SUMIF(Comp!$A$75:$A$400,Areas!A255,Comp!$G$75:$G$400)</f>
        <v>0</v>
      </c>
      <c r="AH255" s="155"/>
      <c r="AI255" s="155"/>
      <c r="AK255" s="147"/>
    </row>
    <row r="256" spans="1:37" s="141" customFormat="1">
      <c r="A256" s="144">
        <v>2.2242999999999999</v>
      </c>
      <c r="B256" s="141" t="str">
        <f>Comp!B233</f>
        <v>CREW SCULLERY</v>
      </c>
      <c r="C256" s="145">
        <f t="shared" ref="C256:F258" si="81">S256</f>
        <v>0</v>
      </c>
      <c r="D256" s="145">
        <f t="shared" si="81"/>
        <v>0</v>
      </c>
      <c r="E256" s="145">
        <f t="shared" si="81"/>
        <v>0</v>
      </c>
      <c r="F256" s="145">
        <f t="shared" si="81"/>
        <v>0</v>
      </c>
      <c r="G256" s="412"/>
      <c r="H256" s="412"/>
      <c r="I256" s="412"/>
      <c r="J256" s="412"/>
      <c r="K256" s="412"/>
      <c r="L256" s="412"/>
      <c r="M256" s="412"/>
      <c r="N256" s="412"/>
      <c r="O256" s="412"/>
      <c r="P256" s="145">
        <f t="shared" si="75"/>
        <v>20.3</v>
      </c>
      <c r="Q256" s="145">
        <f t="shared" si="75"/>
        <v>20.3</v>
      </c>
      <c r="S256" s="156">
        <f>SUMIF('Flt III'!D:D,A256,'Flt III'!E:E)/3.2808^2</f>
        <v>0</v>
      </c>
      <c r="T256" s="156">
        <f>SUMIF('Flt IIa'!A:A,A256,'Flt IIa'!E:E)/3.2808^2</f>
        <v>0</v>
      </c>
      <c r="U256" s="156">
        <f>SUMIF('OPC Des'!A:A,A256,'OPC Des'!F:F)/3.2808^2</f>
        <v>0</v>
      </c>
      <c r="V256" s="156">
        <f>SUMIF('LCS 5'!A:A,A256,'LCS 5'!E:E)</f>
        <v>0</v>
      </c>
      <c r="W256" s="156">
        <f>SUMIF('USCG Summary'!$A$25:$A$50,A256,'USCG Summary'!$D$25:$D$50)/3.2808^2</f>
        <v>0</v>
      </c>
      <c r="X256" s="156">
        <f>SUMIF('USCG Summary'!$A$25:$A$50,A256,'USCG Summary'!$I$25:$I$50)/3.2808^2</f>
        <v>0</v>
      </c>
      <c r="Y256" s="156">
        <f>SUMIF('USCG Summary'!$A$25:$A$50,A256,'USCG Summary'!$L$25:$L$50)/3.2808^2</f>
        <v>0</v>
      </c>
      <c r="Z256" s="156">
        <f>SUMIF('USCG Summary'!$A$25:$A$50,A256,'USCG Summary'!$O$25:$O$50)/3.2808^2</f>
        <v>0</v>
      </c>
      <c r="AA256" s="156">
        <f>SUMIF('USCG Summary'!$A$25:$A$50,A256,'USCG Summary'!$P$25:$P$50)/3.2808^2</f>
        <v>0</v>
      </c>
      <c r="AB256" s="156">
        <f>SUMIF('USCG Summary'!$A$25:$A$50,A256,'USCG Summary'!$Q$25:$Q$50)/3.2808^2</f>
        <v>0</v>
      </c>
      <c r="AC256" s="156">
        <f>SUMIF('USCG Summary'!$A$25:$A$50,A256,'USCG Summary'!$T$25:$T$50)/3.2808^2</f>
        <v>0</v>
      </c>
      <c r="AD256" s="156">
        <f>SUMIF('USCG Summary'!$A$25:$A$50,A256,'USCG Summary'!$W$25:$W$50)/3.2808^2</f>
        <v>0</v>
      </c>
      <c r="AE256" s="156">
        <f>SUMIF('USCG Summary'!$A$25:$A$50,A256,'USCG Summary'!$Z$25:$Z$50)/3.2808^2</f>
        <v>0</v>
      </c>
      <c r="AF256" s="156">
        <f>SUMIF(Comp!$A$75:$A$400,Areas!A256,Comp!$F$75:$F$400)</f>
        <v>20.3</v>
      </c>
      <c r="AG256" s="156">
        <f>SUMIF(Comp!$A$75:$A$400,Areas!A256,Comp!$G$75:$G$400)</f>
        <v>20.3</v>
      </c>
      <c r="AH256" s="156"/>
      <c r="AI256" s="156"/>
      <c r="AK256" s="145"/>
    </row>
    <row r="257" spans="1:37" s="132" customFormat="1">
      <c r="A257" s="142">
        <v>2.2250000000000001</v>
      </c>
      <c r="B257" s="132" t="str">
        <f>Comp!B234</f>
        <v>GARBAGE DISPOSAL</v>
      </c>
      <c r="C257" s="143">
        <f t="shared" si="81"/>
        <v>0</v>
      </c>
      <c r="D257" s="143">
        <f t="shared" si="81"/>
        <v>0</v>
      </c>
      <c r="E257" s="143">
        <f t="shared" si="81"/>
        <v>0</v>
      </c>
      <c r="F257" s="143">
        <f t="shared" si="81"/>
        <v>0</v>
      </c>
      <c r="G257" s="410"/>
      <c r="H257" s="410"/>
      <c r="I257" s="410"/>
      <c r="J257" s="410"/>
      <c r="K257" s="410"/>
      <c r="L257" s="410"/>
      <c r="M257" s="410"/>
      <c r="N257" s="410"/>
      <c r="O257" s="410"/>
      <c r="P257" s="143">
        <f t="shared" si="75"/>
        <v>0</v>
      </c>
      <c r="Q257" s="143">
        <f t="shared" si="75"/>
        <v>0</v>
      </c>
      <c r="S257" s="154">
        <f>SUMIF('Flt III'!D:D,A257,'Flt III'!E:E)/3.2808^2</f>
        <v>0</v>
      </c>
      <c r="T257" s="154">
        <f>SUMIF('Flt IIa'!A:A,A257,'Flt IIa'!E:E)/3.2808^2</f>
        <v>0</v>
      </c>
      <c r="U257" s="154">
        <f>SUMIF('OPC Des'!A:A,A257,'OPC Des'!F:F)/3.2808^2</f>
        <v>0</v>
      </c>
      <c r="V257" s="154">
        <f>SUMIF('LCS 5'!A:A,A257,'LCS 5'!E:E)</f>
        <v>0</v>
      </c>
      <c r="W257" s="154">
        <f>SUMIF('USCG Summary'!$A$25:$A$50,A257,'USCG Summary'!$D$25:$D$50)/3.2808^2</f>
        <v>0</v>
      </c>
      <c r="X257" s="154">
        <f>SUMIF('USCG Summary'!$A$25:$A$50,A257,'USCG Summary'!$I$25:$I$50)/3.2808^2</f>
        <v>0</v>
      </c>
      <c r="Y257" s="154">
        <f>SUMIF('USCG Summary'!$A$25:$A$50,A257,'USCG Summary'!$L$25:$L$50)/3.2808^2</f>
        <v>0</v>
      </c>
      <c r="Z257" s="154">
        <f>SUMIF('USCG Summary'!$A$25:$A$50,A257,'USCG Summary'!$O$25:$O$50)/3.2808^2</f>
        <v>0</v>
      </c>
      <c r="AA257" s="154">
        <f>SUMIF('USCG Summary'!$A$25:$A$50,A257,'USCG Summary'!$P$25:$P$50)/3.2808^2</f>
        <v>0</v>
      </c>
      <c r="AB257" s="154">
        <f>SUMIF('USCG Summary'!$A$25:$A$50,A257,'USCG Summary'!$Q$25:$Q$50)/3.2808^2</f>
        <v>0</v>
      </c>
      <c r="AC257" s="154">
        <f>SUMIF('USCG Summary'!$A$25:$A$50,A257,'USCG Summary'!$T$25:$T$50)/3.2808^2</f>
        <v>0</v>
      </c>
      <c r="AD257" s="154">
        <f>SUMIF('USCG Summary'!$A$25:$A$50,A257,'USCG Summary'!$W$25:$W$50)/3.2808^2</f>
        <v>0</v>
      </c>
      <c r="AE257" s="154">
        <f>SUMIF('USCG Summary'!$A$25:$A$50,A257,'USCG Summary'!$Z$25:$Z$50)/3.2808^2</f>
        <v>0</v>
      </c>
      <c r="AF257" s="154">
        <f>SUMIF(Comp!$A$75:$A$400,Areas!A257,Comp!$F$75:$F$400)</f>
        <v>0</v>
      </c>
      <c r="AG257" s="154">
        <f>SUMIF(Comp!$A$75:$A$400,Areas!A257,Comp!$G$75:$G$400)</f>
        <v>0</v>
      </c>
      <c r="AH257" s="154"/>
      <c r="AI257" s="154"/>
      <c r="AK257" s="143"/>
    </row>
    <row r="258" spans="1:37" s="132" customFormat="1">
      <c r="A258" s="142">
        <v>2.226</v>
      </c>
      <c r="B258" s="132" t="str">
        <f>Comp!B235</f>
        <v>PREPARED FOOD HANDLING</v>
      </c>
      <c r="C258" s="143">
        <f t="shared" si="81"/>
        <v>0</v>
      </c>
      <c r="D258" s="143">
        <f t="shared" si="81"/>
        <v>0</v>
      </c>
      <c r="E258" s="143">
        <f t="shared" si="81"/>
        <v>0</v>
      </c>
      <c r="F258" s="143">
        <f t="shared" si="81"/>
        <v>0</v>
      </c>
      <c r="G258" s="410"/>
      <c r="H258" s="410"/>
      <c r="I258" s="410"/>
      <c r="J258" s="410"/>
      <c r="K258" s="410"/>
      <c r="L258" s="410"/>
      <c r="M258" s="410"/>
      <c r="N258" s="410"/>
      <c r="O258" s="410"/>
      <c r="P258" s="143">
        <f t="shared" si="75"/>
        <v>0</v>
      </c>
      <c r="Q258" s="143">
        <f t="shared" si="75"/>
        <v>0</v>
      </c>
      <c r="S258" s="154">
        <f>SUMIF('Flt III'!D:D,A258,'Flt III'!E:E)/3.2808^2</f>
        <v>0</v>
      </c>
      <c r="T258" s="154">
        <f>SUMIF('Flt IIa'!A:A,A258,'Flt IIa'!E:E)/3.2808^2</f>
        <v>0</v>
      </c>
      <c r="U258" s="154">
        <f>SUMIF('OPC Des'!A:A,A258,'OPC Des'!F:F)/3.2808^2</f>
        <v>0</v>
      </c>
      <c r="V258" s="154">
        <f>SUMIF('LCS 5'!A:A,A258,'LCS 5'!E:E)</f>
        <v>0</v>
      </c>
      <c r="W258" s="154">
        <f>SUMIF('USCG Summary'!$A$25:$A$50,A258,'USCG Summary'!$D$25:$D$50)/3.2808^2</f>
        <v>0</v>
      </c>
      <c r="X258" s="154">
        <f>SUMIF('USCG Summary'!$A$25:$A$50,A258,'USCG Summary'!$I$25:$I$50)/3.2808^2</f>
        <v>0</v>
      </c>
      <c r="Y258" s="154">
        <f>SUMIF('USCG Summary'!$A$25:$A$50,A258,'USCG Summary'!$L$25:$L$50)/3.2808^2</f>
        <v>0</v>
      </c>
      <c r="Z258" s="154">
        <f>SUMIF('USCG Summary'!$A$25:$A$50,A258,'USCG Summary'!$O$25:$O$50)/3.2808^2</f>
        <v>0</v>
      </c>
      <c r="AA258" s="154">
        <f>SUMIF('USCG Summary'!$A$25:$A$50,A258,'USCG Summary'!$P$25:$P$50)/3.2808^2</f>
        <v>0</v>
      </c>
      <c r="AB258" s="154">
        <f>SUMIF('USCG Summary'!$A$25:$A$50,A258,'USCG Summary'!$Q$25:$Q$50)/3.2808^2</f>
        <v>0</v>
      </c>
      <c r="AC258" s="154">
        <f>SUMIF('USCG Summary'!$A$25:$A$50,A258,'USCG Summary'!$T$25:$T$50)/3.2808^2</f>
        <v>0</v>
      </c>
      <c r="AD258" s="154">
        <f>SUMIF('USCG Summary'!$A$25:$A$50,A258,'USCG Summary'!$W$25:$W$50)/3.2808^2</f>
        <v>0</v>
      </c>
      <c r="AE258" s="154">
        <f>SUMIF('USCG Summary'!$A$25:$A$50,A258,'USCG Summary'!$Z$25:$Z$50)/3.2808^2</f>
        <v>0</v>
      </c>
      <c r="AF258" s="154">
        <f>SUMIF(Comp!$A$75:$A$400,Areas!A258,Comp!$F$75:$F$400)</f>
        <v>0</v>
      </c>
      <c r="AG258" s="154">
        <f>SUMIF(Comp!$A$75:$A$400,Areas!A258,Comp!$G$75:$G$400)</f>
        <v>0</v>
      </c>
      <c r="AH258" s="154"/>
      <c r="AI258" s="154"/>
      <c r="AK258" s="143"/>
    </row>
    <row r="259" spans="1:37" s="134" customFormat="1">
      <c r="A259" s="140">
        <v>2.23</v>
      </c>
      <c r="B259" s="134" t="str">
        <f>Comp!B236</f>
        <v>FOOD STORAGE+ISSUE</v>
      </c>
      <c r="C259" s="149">
        <f>C260+C262+C264+C266</f>
        <v>97.829280313631642</v>
      </c>
      <c r="D259" s="149">
        <f>D260+D262+D264+D266</f>
        <v>97.829280313631642</v>
      </c>
      <c r="E259" s="149">
        <f>E260+E262+E264+E266</f>
        <v>25.54895734686486</v>
      </c>
      <c r="F259" s="149">
        <f>F260+F262+F264+F266</f>
        <v>0</v>
      </c>
      <c r="G259" s="409"/>
      <c r="H259" s="409"/>
      <c r="I259" s="409"/>
      <c r="J259" s="409"/>
      <c r="K259" s="409"/>
      <c r="L259" s="409"/>
      <c r="M259" s="409"/>
      <c r="N259" s="409"/>
      <c r="O259" s="409"/>
      <c r="P259" s="149">
        <f t="shared" si="75"/>
        <v>103.9</v>
      </c>
      <c r="Q259" s="149">
        <f t="shared" si="75"/>
        <v>103.9</v>
      </c>
      <c r="S259" s="153">
        <f>SUMIF('Flt III'!D:D,A259,'Flt III'!E:E)/3.2808^2</f>
        <v>0</v>
      </c>
      <c r="T259" s="153">
        <f>SUMIF('Flt IIa'!A:A,A259,'Flt IIa'!E:E)/3.2808^2</f>
        <v>0</v>
      </c>
      <c r="U259" s="153">
        <f>SUMIF('OPC Des'!A:A,A259,'OPC Des'!F:F)/3.2808^2</f>
        <v>0</v>
      </c>
      <c r="V259" s="153">
        <f>SUMIF('LCS 5'!A:A,A259,'LCS 5'!E:E)</f>
        <v>0</v>
      </c>
      <c r="W259" s="153">
        <f>SUMIF('USCG Summary'!$A$25:$A$50,A259,'USCG Summary'!$D$25:$D$50)/3.2808^2</f>
        <v>0</v>
      </c>
      <c r="X259" s="153">
        <f>SUMIF('USCG Summary'!$A$25:$A$50,A259,'USCG Summary'!$I$25:$I$50)/3.2808^2</f>
        <v>0</v>
      </c>
      <c r="Y259" s="153">
        <f>SUMIF('USCG Summary'!$A$25:$A$50,A259,'USCG Summary'!$L$25:$L$50)/3.2808^2</f>
        <v>0</v>
      </c>
      <c r="Z259" s="153">
        <f>SUMIF('USCG Summary'!$A$25:$A$50,A259,'USCG Summary'!$O$25:$O$50)/3.2808^2</f>
        <v>0</v>
      </c>
      <c r="AA259" s="153">
        <f>SUMIF('USCG Summary'!$A$25:$A$50,A259,'USCG Summary'!$P$25:$P$50)/3.2808^2</f>
        <v>0</v>
      </c>
      <c r="AB259" s="153">
        <f>SUMIF('USCG Summary'!$A$25:$A$50,A259,'USCG Summary'!$Q$25:$Q$50)/3.2808^2</f>
        <v>0</v>
      </c>
      <c r="AC259" s="153">
        <f>SUMIF('USCG Summary'!$A$25:$A$50,A259,'USCG Summary'!$T$25:$T$50)/3.2808^2</f>
        <v>0</v>
      </c>
      <c r="AD259" s="153">
        <f>SUMIF('USCG Summary'!$A$25:$A$50,A259,'USCG Summary'!$W$25:$W$50)/3.2808^2</f>
        <v>0</v>
      </c>
      <c r="AE259" s="153">
        <f>SUMIF('USCG Summary'!$A$25:$A$50,A259,'USCG Summary'!$Z$25:$Z$50)/3.2808^2</f>
        <v>0</v>
      </c>
      <c r="AF259" s="153">
        <f>SUMIF(Comp!$A$75:$A$400,Areas!A259,Comp!$F$75:$F$400)</f>
        <v>103.9</v>
      </c>
      <c r="AG259" s="153">
        <f>SUMIF(Comp!$A$75:$A$400,Areas!A259,Comp!$G$75:$G$400)</f>
        <v>103.9</v>
      </c>
      <c r="AH259" s="153"/>
      <c r="AI259" s="153"/>
      <c r="AK259" s="133"/>
    </row>
    <row r="260" spans="1:37" s="132" customFormat="1">
      <c r="A260" s="142">
        <v>2.2309999999999999</v>
      </c>
      <c r="B260" s="132" t="str">
        <f>Comp!B237</f>
        <v>CHILL PROVISIONS</v>
      </c>
      <c r="C260" s="143">
        <f>SUM(C261)</f>
        <v>24.248283154660832</v>
      </c>
      <c r="D260" s="143">
        <f>T260</f>
        <v>24.248283154660832</v>
      </c>
      <c r="E260" s="143">
        <f>SUM(E261)</f>
        <v>0</v>
      </c>
      <c r="F260" s="143">
        <f>SUM(F261)</f>
        <v>0</v>
      </c>
      <c r="G260" s="410"/>
      <c r="H260" s="410"/>
      <c r="I260" s="410"/>
      <c r="J260" s="410"/>
      <c r="K260" s="410"/>
      <c r="L260" s="410"/>
      <c r="M260" s="410"/>
      <c r="N260" s="410"/>
      <c r="O260" s="410"/>
      <c r="P260" s="143">
        <f t="shared" si="75"/>
        <v>23.6</v>
      </c>
      <c r="Q260" s="143">
        <f t="shared" si="75"/>
        <v>23.6</v>
      </c>
      <c r="S260" s="154">
        <f>SUMIF('Flt III'!D:D,A260,'Flt III'!E:E)/3.2808^2</f>
        <v>0</v>
      </c>
      <c r="T260" s="154">
        <f>SUMIF('Flt IIa'!A:A,A260,'Flt IIa'!E:E)/3.2808^2</f>
        <v>24.248283154660832</v>
      </c>
      <c r="U260" s="154">
        <f>SUMIF('OPC Des'!A:A,A260,'OPC Des'!F:F)/3.2808^2</f>
        <v>0</v>
      </c>
      <c r="V260" s="154">
        <f>SUMIF('LCS 5'!A:A,A260,'LCS 5'!E:E)</f>
        <v>0</v>
      </c>
      <c r="W260" s="154">
        <f>SUMIF('USCG Summary'!$A$25:$A$50,A260,'USCG Summary'!$D$25:$D$50)/3.2808^2</f>
        <v>0</v>
      </c>
      <c r="X260" s="154">
        <f>SUMIF('USCG Summary'!$A$25:$A$50,A260,'USCG Summary'!$I$25:$I$50)/3.2808^2</f>
        <v>0</v>
      </c>
      <c r="Y260" s="154">
        <f>SUMIF('USCG Summary'!$A$25:$A$50,A260,'USCG Summary'!$L$25:$L$50)/3.2808^2</f>
        <v>0</v>
      </c>
      <c r="Z260" s="154">
        <f>SUMIF('USCG Summary'!$A$25:$A$50,A260,'USCG Summary'!$O$25:$O$50)/3.2808^2</f>
        <v>0</v>
      </c>
      <c r="AA260" s="154">
        <f>SUMIF('USCG Summary'!$A$25:$A$50,A260,'USCG Summary'!$P$25:$P$50)/3.2808^2</f>
        <v>0</v>
      </c>
      <c r="AB260" s="154">
        <f>SUMIF('USCG Summary'!$A$25:$A$50,A260,'USCG Summary'!$Q$25:$Q$50)/3.2808^2</f>
        <v>0</v>
      </c>
      <c r="AC260" s="154">
        <f>SUMIF('USCG Summary'!$A$25:$A$50,A260,'USCG Summary'!$T$25:$T$50)/3.2808^2</f>
        <v>0</v>
      </c>
      <c r="AD260" s="154">
        <f>SUMIF('USCG Summary'!$A$25:$A$50,A260,'USCG Summary'!$W$25:$W$50)/3.2808^2</f>
        <v>0</v>
      </c>
      <c r="AE260" s="154">
        <f>SUMIF('USCG Summary'!$A$25:$A$50,A260,'USCG Summary'!$Z$25:$Z$50)/3.2808^2</f>
        <v>0</v>
      </c>
      <c r="AF260" s="154">
        <f>SUMIF(Comp!$A$75:$A$400,Areas!A260,Comp!$F$75:$F$400)</f>
        <v>23.6</v>
      </c>
      <c r="AG260" s="154">
        <f>SUMIF(Comp!$A$75:$A$400,Areas!A260,Comp!$G$75:$G$400)</f>
        <v>23.6</v>
      </c>
      <c r="AH260" s="154"/>
      <c r="AI260" s="154"/>
      <c r="AK260" s="143"/>
    </row>
    <row r="261" spans="1:37" s="148" customFormat="1">
      <c r="A261" s="146" t="s">
        <v>1083</v>
      </c>
      <c r="C261" s="147">
        <f t="shared" ref="C261:F261" si="82">S261</f>
        <v>24.248283154660832</v>
      </c>
      <c r="D261" s="147">
        <f t="shared" si="82"/>
        <v>0</v>
      </c>
      <c r="E261" s="147">
        <f t="shared" si="82"/>
        <v>0</v>
      </c>
      <c r="F261" s="147">
        <f t="shared" si="82"/>
        <v>0</v>
      </c>
      <c r="G261" s="411"/>
      <c r="H261" s="411"/>
      <c r="I261" s="411"/>
      <c r="J261" s="411"/>
      <c r="K261" s="411"/>
      <c r="L261" s="411"/>
      <c r="M261" s="411"/>
      <c r="N261" s="411"/>
      <c r="O261" s="411"/>
      <c r="P261" s="147">
        <f t="shared" si="75"/>
        <v>0</v>
      </c>
      <c r="Q261" s="147">
        <f t="shared" si="75"/>
        <v>0</v>
      </c>
      <c r="S261" s="155">
        <f>SUMIF('Flt III'!D:D,A261,'Flt III'!E:E)/3.2808^2</f>
        <v>24.248283154660832</v>
      </c>
      <c r="T261" s="155">
        <f>SUMIF('Flt IIa'!A:A,A261,'Flt IIa'!E:E)/3.2808^2</f>
        <v>0</v>
      </c>
      <c r="U261" s="155">
        <f>SUMIF('OPC Des'!A:A,A261,'OPC Des'!F:F)/3.2808^2</f>
        <v>0</v>
      </c>
      <c r="V261" s="155">
        <f>SUMIF('LCS 5'!A:A,A261,'LCS 5'!E:E)</f>
        <v>0</v>
      </c>
      <c r="W261" s="155">
        <f>SUMIF('USCG Summary'!$A$25:$A$50,A261,'USCG Summary'!$D$25:$D$50)/3.2808^2</f>
        <v>0</v>
      </c>
      <c r="X261" s="155">
        <f>SUMIF('USCG Summary'!$A$25:$A$50,A261,'USCG Summary'!$I$25:$I$50)/3.2808^2</f>
        <v>0</v>
      </c>
      <c r="Y261" s="155">
        <f>SUMIF('USCG Summary'!$A$25:$A$50,A261,'USCG Summary'!$L$25:$L$50)/3.2808^2</f>
        <v>0</v>
      </c>
      <c r="Z261" s="155">
        <f>SUMIF('USCG Summary'!$A$25:$A$50,A261,'USCG Summary'!$O$25:$O$50)/3.2808^2</f>
        <v>0</v>
      </c>
      <c r="AA261" s="155">
        <f>SUMIF('USCG Summary'!$A$25:$A$50,A261,'USCG Summary'!$P$25:$P$50)/3.2808^2</f>
        <v>0</v>
      </c>
      <c r="AB261" s="155">
        <f>SUMIF('USCG Summary'!$A$25:$A$50,A261,'USCG Summary'!$Q$25:$Q$50)/3.2808^2</f>
        <v>0</v>
      </c>
      <c r="AC261" s="155">
        <f>SUMIF('USCG Summary'!$A$25:$A$50,A261,'USCG Summary'!$T$25:$T$50)/3.2808^2</f>
        <v>0</v>
      </c>
      <c r="AD261" s="155">
        <f>SUMIF('USCG Summary'!$A$25:$A$50,A261,'USCG Summary'!$W$25:$W$50)/3.2808^2</f>
        <v>0</v>
      </c>
      <c r="AE261" s="155">
        <f>SUMIF('USCG Summary'!$A$25:$A$50,A261,'USCG Summary'!$Z$25:$Z$50)/3.2808^2</f>
        <v>0</v>
      </c>
      <c r="AF261" s="155">
        <f>SUMIF(Comp!$A$75:$A$400,Areas!A261,Comp!$F$75:$F$400)</f>
        <v>0</v>
      </c>
      <c r="AG261" s="155">
        <f>SUMIF(Comp!$A$75:$A$400,Areas!A261,Comp!$G$75:$G$400)</f>
        <v>0</v>
      </c>
      <c r="AH261" s="155"/>
      <c r="AI261" s="155"/>
      <c r="AK261" s="147"/>
    </row>
    <row r="262" spans="1:37" s="132" customFormat="1">
      <c r="A262" s="142">
        <v>2.2320000000000002</v>
      </c>
      <c r="B262" s="132" t="str">
        <f>Comp!B238</f>
        <v>FROZEN PROVISIONS</v>
      </c>
      <c r="C262" s="143">
        <f>SUM(C263)</f>
        <v>27.314158036284613</v>
      </c>
      <c r="D262" s="143">
        <f>T262</f>
        <v>27.314158036284613</v>
      </c>
      <c r="E262" s="143">
        <f>SUM(E263)</f>
        <v>25.54895734686486</v>
      </c>
      <c r="F262" s="143">
        <f>SUM(F263)</f>
        <v>0</v>
      </c>
      <c r="G262" s="410"/>
      <c r="H262" s="410"/>
      <c r="I262" s="410"/>
      <c r="J262" s="410"/>
      <c r="K262" s="410"/>
      <c r="L262" s="410"/>
      <c r="M262" s="410"/>
      <c r="N262" s="410"/>
      <c r="O262" s="410"/>
      <c r="P262" s="143">
        <f t="shared" si="75"/>
        <v>23.1</v>
      </c>
      <c r="Q262" s="143">
        <f t="shared" si="75"/>
        <v>23.1</v>
      </c>
      <c r="S262" s="154">
        <f>SUMIF('Flt III'!D:D,A262,'Flt III'!E:E)/3.2808^2</f>
        <v>0</v>
      </c>
      <c r="T262" s="154">
        <f>SUMIF('Flt IIa'!A:A,A262,'Flt IIa'!E:E)/3.2808^2</f>
        <v>27.314158036284613</v>
      </c>
      <c r="U262" s="154">
        <f>SUMIF('OPC Des'!A:A,A262,'OPC Des'!F:F)/3.2808^2</f>
        <v>0</v>
      </c>
      <c r="V262" s="154">
        <f>SUMIF('LCS 5'!A:A,A262,'LCS 5'!E:E)</f>
        <v>0</v>
      </c>
      <c r="W262" s="154">
        <f>SUMIF('USCG Summary'!$A$25:$A$50,A262,'USCG Summary'!$D$25:$D$50)/3.2808^2</f>
        <v>0</v>
      </c>
      <c r="X262" s="154">
        <f>SUMIF('USCG Summary'!$A$25:$A$50,A262,'USCG Summary'!$I$25:$I$50)/3.2808^2</f>
        <v>0</v>
      </c>
      <c r="Y262" s="154">
        <f>SUMIF('USCG Summary'!$A$25:$A$50,A262,'USCG Summary'!$L$25:$L$50)/3.2808^2</f>
        <v>0</v>
      </c>
      <c r="Z262" s="154">
        <f>SUMIF('USCG Summary'!$A$25:$A$50,A262,'USCG Summary'!$O$25:$O$50)/3.2808^2</f>
        <v>0</v>
      </c>
      <c r="AA262" s="154">
        <f>SUMIF('USCG Summary'!$A$25:$A$50,A262,'USCG Summary'!$P$25:$P$50)/3.2808^2</f>
        <v>0</v>
      </c>
      <c r="AB262" s="154">
        <f>SUMIF('USCG Summary'!$A$25:$A$50,A262,'USCG Summary'!$Q$25:$Q$50)/3.2808^2</f>
        <v>0</v>
      </c>
      <c r="AC262" s="154">
        <f>SUMIF('USCG Summary'!$A$25:$A$50,A262,'USCG Summary'!$T$25:$T$50)/3.2808^2</f>
        <v>0</v>
      </c>
      <c r="AD262" s="154">
        <f>SUMIF('USCG Summary'!$A$25:$A$50,A262,'USCG Summary'!$W$25:$W$50)/3.2808^2</f>
        <v>0</v>
      </c>
      <c r="AE262" s="154">
        <f>SUMIF('USCG Summary'!$A$25:$A$50,A262,'USCG Summary'!$Z$25:$Z$50)/3.2808^2</f>
        <v>0</v>
      </c>
      <c r="AF262" s="154">
        <f>SUMIF(Comp!$A$75:$A$400,Areas!A262,Comp!$F$75:$F$400)</f>
        <v>23.1</v>
      </c>
      <c r="AG262" s="154">
        <f>SUMIF(Comp!$A$75:$A$400,Areas!A262,Comp!$G$75:$G$400)</f>
        <v>23.1</v>
      </c>
      <c r="AH262" s="154"/>
      <c r="AI262" s="154"/>
      <c r="AK262" s="143"/>
    </row>
    <row r="263" spans="1:37" s="148" customFormat="1">
      <c r="A263" s="146" t="s">
        <v>1080</v>
      </c>
      <c r="C263" s="147">
        <f t="shared" ref="C263:F263" si="83">S263</f>
        <v>27.314158036284613</v>
      </c>
      <c r="D263" s="147">
        <f t="shared" si="83"/>
        <v>0</v>
      </c>
      <c r="E263" s="147">
        <f t="shared" si="83"/>
        <v>25.54895734686486</v>
      </c>
      <c r="F263" s="147">
        <f t="shared" si="83"/>
        <v>0</v>
      </c>
      <c r="G263" s="411"/>
      <c r="H263" s="411"/>
      <c r="I263" s="411"/>
      <c r="J263" s="411"/>
      <c r="K263" s="411"/>
      <c r="L263" s="411"/>
      <c r="M263" s="411"/>
      <c r="N263" s="411"/>
      <c r="O263" s="411"/>
      <c r="P263" s="147">
        <f t="shared" si="75"/>
        <v>0</v>
      </c>
      <c r="Q263" s="147">
        <f t="shared" si="75"/>
        <v>0</v>
      </c>
      <c r="S263" s="155">
        <f>SUMIF('Flt III'!D:D,A263,'Flt III'!E:E)/3.2808^2</f>
        <v>27.314158036284613</v>
      </c>
      <c r="T263" s="155">
        <f>SUMIF('Flt IIa'!A:A,A263,'Flt IIa'!E:E)/3.2808^2</f>
        <v>0</v>
      </c>
      <c r="U263" s="155">
        <f>SUMIF('OPC Des'!A:A,A263,'OPC Des'!F:F)/3.2808^2</f>
        <v>25.54895734686486</v>
      </c>
      <c r="V263" s="155">
        <f>SUMIF('LCS 5'!A:A,A263,'LCS 5'!E:E)</f>
        <v>0</v>
      </c>
      <c r="W263" s="155">
        <f>SUMIF('USCG Summary'!$A$25:$A$50,A263,'USCG Summary'!$D$25:$D$50)/3.2808^2</f>
        <v>0</v>
      </c>
      <c r="X263" s="155">
        <f>SUMIF('USCG Summary'!$A$25:$A$50,A263,'USCG Summary'!$I$25:$I$50)/3.2808^2</f>
        <v>0</v>
      </c>
      <c r="Y263" s="155">
        <f>SUMIF('USCG Summary'!$A$25:$A$50,A263,'USCG Summary'!$L$25:$L$50)/3.2808^2</f>
        <v>0</v>
      </c>
      <c r="Z263" s="155">
        <f>SUMIF('USCG Summary'!$A$25:$A$50,A263,'USCG Summary'!$O$25:$O$50)/3.2808^2</f>
        <v>0</v>
      </c>
      <c r="AA263" s="155">
        <f>SUMIF('USCG Summary'!$A$25:$A$50,A263,'USCG Summary'!$P$25:$P$50)/3.2808^2</f>
        <v>0</v>
      </c>
      <c r="AB263" s="155">
        <f>SUMIF('USCG Summary'!$A$25:$A$50,A263,'USCG Summary'!$Q$25:$Q$50)/3.2808^2</f>
        <v>0</v>
      </c>
      <c r="AC263" s="155">
        <f>SUMIF('USCG Summary'!$A$25:$A$50,A263,'USCG Summary'!$T$25:$T$50)/3.2808^2</f>
        <v>0</v>
      </c>
      <c r="AD263" s="155">
        <f>SUMIF('USCG Summary'!$A$25:$A$50,A263,'USCG Summary'!$W$25:$W$50)/3.2808^2</f>
        <v>0</v>
      </c>
      <c r="AE263" s="155">
        <f>SUMIF('USCG Summary'!$A$25:$A$50,A263,'USCG Summary'!$Z$25:$Z$50)/3.2808^2</f>
        <v>0</v>
      </c>
      <c r="AF263" s="155">
        <f>SUMIF(Comp!$A$75:$A$400,Areas!A263,Comp!$F$75:$F$400)</f>
        <v>0</v>
      </c>
      <c r="AG263" s="155">
        <f>SUMIF(Comp!$A$75:$A$400,Areas!A263,Comp!$G$75:$G$400)</f>
        <v>0</v>
      </c>
      <c r="AH263" s="155"/>
      <c r="AI263" s="155"/>
      <c r="AK263" s="147"/>
    </row>
    <row r="264" spans="1:37" s="132" customFormat="1">
      <c r="A264" s="142">
        <v>2.2330000000000001</v>
      </c>
      <c r="B264" s="132" t="str">
        <f>Comp!B239</f>
        <v>DRY PROVISIONS</v>
      </c>
      <c r="C264" s="143">
        <f>SUM(C265)</f>
        <v>46.266839122686186</v>
      </c>
      <c r="D264" s="143">
        <f>T264</f>
        <v>46.266839122686186</v>
      </c>
      <c r="E264" s="143">
        <f>U264</f>
        <v>0</v>
      </c>
      <c r="F264" s="143">
        <f>V264</f>
        <v>0</v>
      </c>
      <c r="G264" s="410"/>
      <c r="H264" s="410"/>
      <c r="I264" s="410"/>
      <c r="J264" s="410"/>
      <c r="K264" s="410"/>
      <c r="L264" s="410"/>
      <c r="M264" s="410"/>
      <c r="N264" s="410"/>
      <c r="O264" s="410"/>
      <c r="P264" s="143">
        <f t="shared" si="75"/>
        <v>49.6</v>
      </c>
      <c r="Q264" s="143">
        <f t="shared" si="75"/>
        <v>49.6</v>
      </c>
      <c r="S264" s="154">
        <f>SUMIF('Flt III'!D:D,A264,'Flt III'!E:E)/3.2808^2</f>
        <v>0</v>
      </c>
      <c r="T264" s="154">
        <f>SUMIF('Flt IIa'!A:A,A264,'Flt IIa'!E:E)/3.2808^2</f>
        <v>46.266839122686186</v>
      </c>
      <c r="U264" s="154">
        <f>SUMIF('OPC Des'!A:A,A264,'OPC Des'!F:F)/3.2808^2</f>
        <v>0</v>
      </c>
      <c r="V264" s="154">
        <f>SUMIF('LCS 5'!A:A,A264,'LCS 5'!E:E)</f>
        <v>0</v>
      </c>
      <c r="W264" s="154">
        <f>SUMIF('USCG Summary'!$A$25:$A$50,A264,'USCG Summary'!$D$25:$D$50)/3.2808^2</f>
        <v>0</v>
      </c>
      <c r="X264" s="154">
        <f>SUMIF('USCG Summary'!$A$25:$A$50,A264,'USCG Summary'!$I$25:$I$50)/3.2808^2</f>
        <v>0</v>
      </c>
      <c r="Y264" s="154">
        <f>SUMIF('USCG Summary'!$A$25:$A$50,A264,'USCG Summary'!$L$25:$L$50)/3.2808^2</f>
        <v>0</v>
      </c>
      <c r="Z264" s="154">
        <f>SUMIF('USCG Summary'!$A$25:$A$50,A264,'USCG Summary'!$O$25:$O$50)/3.2808^2</f>
        <v>0</v>
      </c>
      <c r="AA264" s="154">
        <f>SUMIF('USCG Summary'!$A$25:$A$50,A264,'USCG Summary'!$P$25:$P$50)/3.2808^2</f>
        <v>0</v>
      </c>
      <c r="AB264" s="154">
        <f>SUMIF('USCG Summary'!$A$25:$A$50,A264,'USCG Summary'!$Q$25:$Q$50)/3.2808^2</f>
        <v>0</v>
      </c>
      <c r="AC264" s="154">
        <f>SUMIF('USCG Summary'!$A$25:$A$50,A264,'USCG Summary'!$T$25:$T$50)/3.2808^2</f>
        <v>0</v>
      </c>
      <c r="AD264" s="154">
        <f>SUMIF('USCG Summary'!$A$25:$A$50,A264,'USCG Summary'!$W$25:$W$50)/3.2808^2</f>
        <v>0</v>
      </c>
      <c r="AE264" s="154">
        <f>SUMIF('USCG Summary'!$A$25:$A$50,A264,'USCG Summary'!$Z$25:$Z$50)/3.2808^2</f>
        <v>0</v>
      </c>
      <c r="AF264" s="154">
        <f>SUMIF(Comp!$A$75:$A$400,Areas!A264,Comp!$F$75:$F$400)</f>
        <v>49.6</v>
      </c>
      <c r="AG264" s="154">
        <f>SUMIF(Comp!$A$75:$A$400,Areas!A264,Comp!$G$75:$G$400)</f>
        <v>49.6</v>
      </c>
      <c r="AH264" s="154"/>
      <c r="AI264" s="154"/>
      <c r="AK264" s="143"/>
    </row>
    <row r="265" spans="1:37" s="148" customFormat="1">
      <c r="A265" s="146" t="s">
        <v>1077</v>
      </c>
      <c r="C265" s="147">
        <f t="shared" ref="C265:F265" si="84">S265</f>
        <v>46.266839122686186</v>
      </c>
      <c r="D265" s="147">
        <f t="shared" si="84"/>
        <v>0</v>
      </c>
      <c r="E265" s="147">
        <f t="shared" si="84"/>
        <v>0</v>
      </c>
      <c r="F265" s="147">
        <f t="shared" si="84"/>
        <v>0</v>
      </c>
      <c r="G265" s="411"/>
      <c r="H265" s="411"/>
      <c r="I265" s="411"/>
      <c r="J265" s="411"/>
      <c r="K265" s="411"/>
      <c r="L265" s="411"/>
      <c r="M265" s="411"/>
      <c r="N265" s="411"/>
      <c r="O265" s="411"/>
      <c r="P265" s="147">
        <f t="shared" si="75"/>
        <v>0</v>
      </c>
      <c r="Q265" s="147">
        <f t="shared" si="75"/>
        <v>0</v>
      </c>
      <c r="S265" s="155">
        <f>SUMIF('Flt III'!D:D,A265,'Flt III'!E:E)/3.2808^2</f>
        <v>46.266839122686186</v>
      </c>
      <c r="T265" s="155">
        <f>SUMIF('Flt IIa'!A:A,A265,'Flt IIa'!E:E)/3.2808^2</f>
        <v>0</v>
      </c>
      <c r="U265" s="155">
        <f>SUMIF('OPC Des'!A:A,A265,'OPC Des'!F:F)/3.2808^2</f>
        <v>0</v>
      </c>
      <c r="V265" s="155">
        <f>SUMIF('LCS 5'!A:A,A265,'LCS 5'!E:E)</f>
        <v>0</v>
      </c>
      <c r="W265" s="155">
        <f>SUMIF('USCG Summary'!$A$25:$A$50,A265,'USCG Summary'!$D$25:$D$50)/3.2808^2</f>
        <v>0</v>
      </c>
      <c r="X265" s="155">
        <f>SUMIF('USCG Summary'!$A$25:$A$50,A265,'USCG Summary'!$I$25:$I$50)/3.2808^2</f>
        <v>0</v>
      </c>
      <c r="Y265" s="155">
        <f>SUMIF('USCG Summary'!$A$25:$A$50,A265,'USCG Summary'!$L$25:$L$50)/3.2808^2</f>
        <v>0</v>
      </c>
      <c r="Z265" s="155">
        <f>SUMIF('USCG Summary'!$A$25:$A$50,A265,'USCG Summary'!$O$25:$O$50)/3.2808^2</f>
        <v>0</v>
      </c>
      <c r="AA265" s="155">
        <f>SUMIF('USCG Summary'!$A$25:$A$50,A265,'USCG Summary'!$P$25:$P$50)/3.2808^2</f>
        <v>0</v>
      </c>
      <c r="AB265" s="155">
        <f>SUMIF('USCG Summary'!$A$25:$A$50,A265,'USCG Summary'!$Q$25:$Q$50)/3.2808^2</f>
        <v>0</v>
      </c>
      <c r="AC265" s="155">
        <f>SUMIF('USCG Summary'!$A$25:$A$50,A265,'USCG Summary'!$T$25:$T$50)/3.2808^2</f>
        <v>0</v>
      </c>
      <c r="AD265" s="155">
        <f>SUMIF('USCG Summary'!$A$25:$A$50,A265,'USCG Summary'!$W$25:$W$50)/3.2808^2</f>
        <v>0</v>
      </c>
      <c r="AE265" s="155">
        <f>SUMIF('USCG Summary'!$A$25:$A$50,A265,'USCG Summary'!$Z$25:$Z$50)/3.2808^2</f>
        <v>0</v>
      </c>
      <c r="AF265" s="155">
        <f>SUMIF(Comp!$A$75:$A$400,Areas!A265,Comp!$F$75:$F$400)</f>
        <v>0</v>
      </c>
      <c r="AG265" s="155">
        <f>SUMIF(Comp!$A$75:$A$400,Areas!A265,Comp!$G$75:$G$400)</f>
        <v>0</v>
      </c>
      <c r="AH265" s="155"/>
      <c r="AI265" s="155"/>
      <c r="AK265" s="147"/>
    </row>
    <row r="266" spans="1:37" s="132" customFormat="1">
      <c r="A266" s="142">
        <v>2.234</v>
      </c>
      <c r="B266" s="132" t="str">
        <f>Comp!B240</f>
        <v>ISSUE</v>
      </c>
      <c r="C266" s="143">
        <f>SUM(C267)</f>
        <v>0</v>
      </c>
      <c r="D266" s="143">
        <f>SUM(D267)</f>
        <v>0</v>
      </c>
      <c r="E266" s="143">
        <f>SUM(E267)</f>
        <v>0</v>
      </c>
      <c r="F266" s="143">
        <f>SUM(F267)</f>
        <v>0</v>
      </c>
      <c r="G266" s="410"/>
      <c r="H266" s="410"/>
      <c r="I266" s="410"/>
      <c r="J266" s="410"/>
      <c r="K266" s="410"/>
      <c r="L266" s="410"/>
      <c r="M266" s="410"/>
      <c r="N266" s="410"/>
      <c r="O266" s="410"/>
      <c r="P266" s="143">
        <f t="shared" si="75"/>
        <v>7.5</v>
      </c>
      <c r="Q266" s="143">
        <f t="shared" si="75"/>
        <v>7.5</v>
      </c>
      <c r="S266" s="154">
        <f>SUMIF('Flt III'!D:D,A266,'Flt III'!E:E)/3.2808^2</f>
        <v>0</v>
      </c>
      <c r="T266" s="154">
        <f>SUMIF('Flt IIa'!A:A,A266,'Flt IIa'!E:E)/3.2808^2</f>
        <v>0</v>
      </c>
      <c r="U266" s="154">
        <f>SUMIF('OPC Des'!A:A,A266,'OPC Des'!F:F)/3.2808^2</f>
        <v>0</v>
      </c>
      <c r="V266" s="154">
        <f>SUMIF('LCS 5'!A:A,A266,'LCS 5'!E:E)</f>
        <v>0</v>
      </c>
      <c r="W266" s="154">
        <f>SUMIF('USCG Summary'!$A$25:$A$50,A266,'USCG Summary'!$D$25:$D$50)/3.2808^2</f>
        <v>0</v>
      </c>
      <c r="X266" s="154">
        <f>SUMIF('USCG Summary'!$A$25:$A$50,A266,'USCG Summary'!$I$25:$I$50)/3.2808^2</f>
        <v>0</v>
      </c>
      <c r="Y266" s="154">
        <f>SUMIF('USCG Summary'!$A$25:$A$50,A266,'USCG Summary'!$L$25:$L$50)/3.2808^2</f>
        <v>0</v>
      </c>
      <c r="Z266" s="154">
        <f>SUMIF('USCG Summary'!$A$25:$A$50,A266,'USCG Summary'!$O$25:$O$50)/3.2808^2</f>
        <v>0</v>
      </c>
      <c r="AA266" s="154">
        <f>SUMIF('USCG Summary'!$A$25:$A$50,A266,'USCG Summary'!$P$25:$P$50)/3.2808^2</f>
        <v>0</v>
      </c>
      <c r="AB266" s="154">
        <f>SUMIF('USCG Summary'!$A$25:$A$50,A266,'USCG Summary'!$Q$25:$Q$50)/3.2808^2</f>
        <v>0</v>
      </c>
      <c r="AC266" s="154">
        <f>SUMIF('USCG Summary'!$A$25:$A$50,A266,'USCG Summary'!$T$25:$T$50)/3.2808^2</f>
        <v>0</v>
      </c>
      <c r="AD266" s="154">
        <f>SUMIF('USCG Summary'!$A$25:$A$50,A266,'USCG Summary'!$W$25:$W$50)/3.2808^2</f>
        <v>0</v>
      </c>
      <c r="AE266" s="154">
        <f>SUMIF('USCG Summary'!$A$25:$A$50,A266,'USCG Summary'!$Z$25:$Z$50)/3.2808^2</f>
        <v>0</v>
      </c>
      <c r="AF266" s="154">
        <f>SUMIF(Comp!$A$75:$A$400,Areas!A266,Comp!$F$75:$F$400)</f>
        <v>7.5</v>
      </c>
      <c r="AG266" s="154">
        <f>SUMIF(Comp!$A$75:$A$400,Areas!A266,Comp!$G$75:$G$400)</f>
        <v>7.5</v>
      </c>
      <c r="AH266" s="154"/>
      <c r="AI266" s="154"/>
      <c r="AK266" s="143"/>
    </row>
    <row r="267" spans="1:37" s="141" customFormat="1">
      <c r="A267" s="144">
        <v>2.2341000000000002</v>
      </c>
      <c r="B267" s="141" t="str">
        <f>Comp!B241</f>
        <v>PROVISION ISSUE ROOM</v>
      </c>
      <c r="C267" s="145">
        <f>S267</f>
        <v>0</v>
      </c>
      <c r="D267" s="145">
        <f>T267</f>
        <v>0</v>
      </c>
      <c r="E267" s="145">
        <f>U267</f>
        <v>0</v>
      </c>
      <c r="F267" s="145">
        <f>V267</f>
        <v>0</v>
      </c>
      <c r="G267" s="412"/>
      <c r="H267" s="412"/>
      <c r="I267" s="412"/>
      <c r="J267" s="412"/>
      <c r="K267" s="412"/>
      <c r="L267" s="412"/>
      <c r="M267" s="412"/>
      <c r="N267" s="412"/>
      <c r="O267" s="412"/>
      <c r="P267" s="145">
        <f t="shared" si="75"/>
        <v>7.5</v>
      </c>
      <c r="Q267" s="145">
        <f t="shared" si="75"/>
        <v>7.5</v>
      </c>
      <c r="S267" s="156">
        <f>SUMIF('Flt III'!D:D,A267,'Flt III'!E:E)/3.2808^2</f>
        <v>0</v>
      </c>
      <c r="T267" s="156">
        <f>SUMIF('Flt IIa'!A:A,A267,'Flt IIa'!E:E)/3.2808^2</f>
        <v>0</v>
      </c>
      <c r="U267" s="156">
        <f>SUMIF('OPC Des'!A:A,A267,'OPC Des'!F:F)/3.2808^2</f>
        <v>0</v>
      </c>
      <c r="V267" s="156">
        <f>SUMIF('LCS 5'!A:A,A267,'LCS 5'!E:E)</f>
        <v>0</v>
      </c>
      <c r="W267" s="156">
        <f>SUMIF('USCG Summary'!$A$25:$A$50,A267,'USCG Summary'!$D$25:$D$50)/3.2808^2</f>
        <v>0</v>
      </c>
      <c r="X267" s="156">
        <f>SUMIF('USCG Summary'!$A$25:$A$50,A267,'USCG Summary'!$I$25:$I$50)/3.2808^2</f>
        <v>0</v>
      </c>
      <c r="Y267" s="156">
        <f>SUMIF('USCG Summary'!$A$25:$A$50,A267,'USCG Summary'!$L$25:$L$50)/3.2808^2</f>
        <v>0</v>
      </c>
      <c r="Z267" s="156">
        <f>SUMIF('USCG Summary'!$A$25:$A$50,A267,'USCG Summary'!$O$25:$O$50)/3.2808^2</f>
        <v>0</v>
      </c>
      <c r="AA267" s="156">
        <f>SUMIF('USCG Summary'!$A$25:$A$50,A267,'USCG Summary'!$P$25:$P$50)/3.2808^2</f>
        <v>0</v>
      </c>
      <c r="AB267" s="156">
        <f>SUMIF('USCG Summary'!$A$25:$A$50,A267,'USCG Summary'!$Q$25:$Q$50)/3.2808^2</f>
        <v>0</v>
      </c>
      <c r="AC267" s="156">
        <f>SUMIF('USCG Summary'!$A$25:$A$50,A267,'USCG Summary'!$T$25:$T$50)/3.2808^2</f>
        <v>0</v>
      </c>
      <c r="AD267" s="156">
        <f>SUMIF('USCG Summary'!$A$25:$A$50,A267,'USCG Summary'!$W$25:$W$50)/3.2808^2</f>
        <v>0</v>
      </c>
      <c r="AE267" s="156">
        <f>SUMIF('USCG Summary'!$A$25:$A$50,A267,'USCG Summary'!$Z$25:$Z$50)/3.2808^2</f>
        <v>0</v>
      </c>
      <c r="AF267" s="156">
        <f>SUMIF(Comp!$A$75:$A$400,Areas!A267,Comp!$F$75:$F$400)</f>
        <v>7.5</v>
      </c>
      <c r="AG267" s="156">
        <f>SUMIF(Comp!$A$75:$A$400,Areas!A267,Comp!$G$75:$G$400)</f>
        <v>7.5</v>
      </c>
      <c r="AH267" s="156"/>
      <c r="AI267" s="156"/>
      <c r="AK267" s="145"/>
    </row>
    <row r="268" spans="1:37" s="148" customFormat="1">
      <c r="A268" s="146">
        <v>2.2600099999999999</v>
      </c>
      <c r="C268" s="147">
        <f t="shared" ref="C268:F268" si="85">S268</f>
        <v>1.1148635933177393</v>
      </c>
      <c r="D268" s="147">
        <f t="shared" si="85"/>
        <v>0</v>
      </c>
      <c r="E268" s="147">
        <f t="shared" si="85"/>
        <v>0</v>
      </c>
      <c r="F268" s="147">
        <f t="shared" si="85"/>
        <v>0</v>
      </c>
      <c r="G268" s="411"/>
      <c r="H268" s="411"/>
      <c r="I268" s="411"/>
      <c r="J268" s="411"/>
      <c r="K268" s="411"/>
      <c r="L268" s="411"/>
      <c r="M268" s="411"/>
      <c r="N268" s="411"/>
      <c r="O268" s="411"/>
      <c r="P268" s="147">
        <f t="shared" si="75"/>
        <v>0</v>
      </c>
      <c r="Q268" s="147">
        <f t="shared" si="75"/>
        <v>0</v>
      </c>
      <c r="S268" s="155">
        <f>SUMIF('Flt III'!D:D,A268,'Flt III'!E:E)/3.2808^2</f>
        <v>1.1148635933177393</v>
      </c>
      <c r="T268" s="155">
        <f>SUMIF('Flt IIa'!A:A,A268,'Flt IIa'!E:E)/3.2808^2</f>
        <v>0</v>
      </c>
      <c r="U268" s="155">
        <f>SUMIF('OPC Des'!A:A,A268,'OPC Des'!F:F)/3.2808^2</f>
        <v>0</v>
      </c>
      <c r="V268" s="155">
        <f>SUMIF('LCS 5'!A:A,A268,'LCS 5'!E:E)</f>
        <v>0</v>
      </c>
      <c r="W268" s="155">
        <f>SUMIF('USCG Summary'!$A$25:$A$50,A268,'USCG Summary'!$D$25:$D$50)/3.2808^2</f>
        <v>0</v>
      </c>
      <c r="X268" s="155">
        <f>SUMIF('USCG Summary'!$A$25:$A$50,A268,'USCG Summary'!$I$25:$I$50)/3.2808^2</f>
        <v>0</v>
      </c>
      <c r="Y268" s="155">
        <f>SUMIF('USCG Summary'!$A$25:$A$50,A268,'USCG Summary'!$L$25:$L$50)/3.2808^2</f>
        <v>0</v>
      </c>
      <c r="Z268" s="155">
        <f>SUMIF('USCG Summary'!$A$25:$A$50,A268,'USCG Summary'!$O$25:$O$50)/3.2808^2</f>
        <v>0</v>
      </c>
      <c r="AA268" s="155">
        <f>SUMIF('USCG Summary'!$A$25:$A$50,A268,'USCG Summary'!$P$25:$P$50)/3.2808^2</f>
        <v>0</v>
      </c>
      <c r="AB268" s="155">
        <f>SUMIF('USCG Summary'!$A$25:$A$50,A268,'USCG Summary'!$Q$25:$Q$50)/3.2808^2</f>
        <v>0</v>
      </c>
      <c r="AC268" s="155">
        <f>SUMIF('USCG Summary'!$A$25:$A$50,A268,'USCG Summary'!$T$25:$T$50)/3.2808^2</f>
        <v>0</v>
      </c>
      <c r="AD268" s="155">
        <f>SUMIF('USCG Summary'!$A$25:$A$50,A268,'USCG Summary'!$W$25:$W$50)/3.2808^2</f>
        <v>0</v>
      </c>
      <c r="AE268" s="155">
        <f>SUMIF('USCG Summary'!$A$25:$A$50,A268,'USCG Summary'!$Z$25:$Z$50)/3.2808^2</f>
        <v>0</v>
      </c>
      <c r="AF268" s="155">
        <f>SUMIF(Comp!$A$75:$A$400,Areas!A268,Comp!$F$75:$F$400)</f>
        <v>0</v>
      </c>
      <c r="AG268" s="155">
        <f>SUMIF(Comp!$A$75:$A$400,Areas!A268,Comp!$G$75:$G$400)</f>
        <v>0</v>
      </c>
      <c r="AH268" s="155"/>
      <c r="AI268" s="155"/>
      <c r="AK268" s="147"/>
    </row>
    <row r="269" spans="1:37" s="139" customFormat="1">
      <c r="A269" s="137">
        <v>2.2999999999999998</v>
      </c>
      <c r="B269" s="139" t="str">
        <f>Comp!B242</f>
        <v>MEDICAL+DENTAL (MEDICAL)</v>
      </c>
      <c r="C269" s="150">
        <f>C270+C281+C287+C293</f>
        <v>65.033709610201456</v>
      </c>
      <c r="D269" s="150">
        <f>D270+D281+D287+D293</f>
        <v>47.381702716003922</v>
      </c>
      <c r="E269" s="150">
        <f>E270+E281+E287+E293</f>
        <v>56.207706163102699</v>
      </c>
      <c r="F269" s="150">
        <f>F270+F281+F287+F293</f>
        <v>52.58</v>
      </c>
      <c r="G269" s="406">
        <f>W269</f>
        <v>0</v>
      </c>
      <c r="H269" s="406">
        <f t="shared" ref="H269:O269" si="86">X269</f>
        <v>0</v>
      </c>
      <c r="I269" s="406">
        <f t="shared" si="86"/>
        <v>0</v>
      </c>
      <c r="J269" s="406">
        <f t="shared" si="86"/>
        <v>0</v>
      </c>
      <c r="K269" s="406">
        <f t="shared" si="86"/>
        <v>0</v>
      </c>
      <c r="L269" s="406">
        <f t="shared" si="86"/>
        <v>0</v>
      </c>
      <c r="M269" s="406">
        <f t="shared" si="86"/>
        <v>0</v>
      </c>
      <c r="N269" s="406">
        <f t="shared" si="86"/>
        <v>0</v>
      </c>
      <c r="O269" s="406">
        <f t="shared" si="86"/>
        <v>0</v>
      </c>
      <c r="P269" s="150">
        <f t="shared" si="75"/>
        <v>76.5</v>
      </c>
      <c r="Q269" s="150">
        <f t="shared" si="75"/>
        <v>76.5</v>
      </c>
      <c r="S269" s="152">
        <f>SUMIF('Flt III'!D:D,A269,'Flt III'!E:E)/3.2808^2</f>
        <v>0</v>
      </c>
      <c r="T269" s="152">
        <f>SUMIF('Flt IIa'!A:A,A269,'Flt IIa'!E:E)/3.2808^2</f>
        <v>0</v>
      </c>
      <c r="U269" s="152">
        <f>SUMIF('OPC Des'!A:A,A269,'OPC Des'!F:F)/3.2808^2</f>
        <v>0</v>
      </c>
      <c r="V269" s="152">
        <f>SUMIF('LCS 5'!A:A,A269,'LCS 5'!E:E)</f>
        <v>0</v>
      </c>
      <c r="W269" s="152">
        <f>SUMIF('USCG Summary'!$A$25:$A$50,A269,'USCG Summary'!$D$25:$D$50)/3.2808^2</f>
        <v>0</v>
      </c>
      <c r="X269" s="152">
        <f>SUMIF('USCG Summary'!$A$25:$A$50,A269,'USCG Summary'!$I$25:$I$50)/3.2808^2</f>
        <v>0</v>
      </c>
      <c r="Y269" s="152">
        <f>SUMIF('USCG Summary'!$A$25:$A$50,A269,'USCG Summary'!$L$25:$L$50)/3.2808^2</f>
        <v>0</v>
      </c>
      <c r="Z269" s="152">
        <f>SUMIF('USCG Summary'!$A$25:$A$50,A269,'USCG Summary'!$O$25:$O$50)/3.2808^2</f>
        <v>0</v>
      </c>
      <c r="AA269" s="152">
        <f>SUMIF('USCG Summary'!$A$25:$A$50,A269,'USCG Summary'!$P$25:$P$50)/3.2808^2</f>
        <v>0</v>
      </c>
      <c r="AB269" s="152">
        <f>SUMIF('USCG Summary'!$A$25:$A$50,A269,'USCG Summary'!$Q$25:$Q$50)/3.2808^2</f>
        <v>0</v>
      </c>
      <c r="AC269" s="152">
        <f>SUMIF('USCG Summary'!$A$25:$A$50,A269,'USCG Summary'!$T$25:$T$50)/3.2808^2</f>
        <v>0</v>
      </c>
      <c r="AD269" s="152">
        <f>SUMIF('USCG Summary'!$A$25:$A$50,A269,'USCG Summary'!$W$25:$W$50)/3.2808^2</f>
        <v>0</v>
      </c>
      <c r="AE269" s="152">
        <f>SUMIF('USCG Summary'!$A$25:$A$50,A269,'USCG Summary'!$Z$25:$Z$50)/3.2808^2</f>
        <v>0</v>
      </c>
      <c r="AF269" s="152">
        <f>SUMIF(Comp!$A$75:$A$400,Areas!A269,Comp!$F$75:$F$400)</f>
        <v>76.5</v>
      </c>
      <c r="AG269" s="152">
        <f>SUMIF(Comp!$A$75:$A$400,Areas!A269,Comp!$G$75:$G$400)</f>
        <v>76.5</v>
      </c>
      <c r="AH269" s="152"/>
      <c r="AI269" s="152"/>
      <c r="AK269" s="138"/>
    </row>
    <row r="270" spans="1:37" s="134" customFormat="1">
      <c r="A270" s="140">
        <v>2.31</v>
      </c>
      <c r="B270" s="134" t="str">
        <f>Comp!B243</f>
        <v>MEDICAL FACILITIES</v>
      </c>
      <c r="C270" s="149">
        <f>C271+C272</f>
        <v>43.665490738278123</v>
      </c>
      <c r="D270" s="149">
        <f>T270</f>
        <v>26.942536838512034</v>
      </c>
      <c r="E270" s="149">
        <f>E271+E272</f>
        <v>54.72122137201238</v>
      </c>
      <c r="F270" s="149">
        <f>F271+F272</f>
        <v>52.58</v>
      </c>
      <c r="G270" s="409"/>
      <c r="H270" s="409"/>
      <c r="I270" s="409"/>
      <c r="J270" s="409"/>
      <c r="K270" s="409"/>
      <c r="L270" s="409"/>
      <c r="M270" s="409"/>
      <c r="N270" s="409"/>
      <c r="O270" s="409"/>
      <c r="P270" s="149">
        <f t="shared" si="75"/>
        <v>46.1</v>
      </c>
      <c r="Q270" s="149">
        <f t="shared" si="75"/>
        <v>46.1</v>
      </c>
      <c r="S270" s="153">
        <f>SUMIF('Flt III'!D:D,A270,'Flt III'!E:E)/3.2808^2</f>
        <v>0</v>
      </c>
      <c r="T270" s="153">
        <f>SUMIF('Flt IIa'!A:A,A270,'Flt IIa'!E:E)/3.2808^2</f>
        <v>26.942536838512034</v>
      </c>
      <c r="U270" s="153">
        <f>SUMIF('OPC Des'!A:A,A270,'OPC Des'!F:F)/3.2808^2</f>
        <v>0</v>
      </c>
      <c r="V270" s="153">
        <f>SUMIF('LCS 5'!A:A,A270,'LCS 5'!E:E)</f>
        <v>0</v>
      </c>
      <c r="W270" s="153">
        <f>SUMIF('USCG Summary'!$A$25:$A$50,A270,'USCG Summary'!$D$25:$D$50)/3.2808^2</f>
        <v>0</v>
      </c>
      <c r="X270" s="153">
        <f>SUMIF('USCG Summary'!$A$25:$A$50,A270,'USCG Summary'!$I$25:$I$50)/3.2808^2</f>
        <v>0</v>
      </c>
      <c r="Y270" s="153">
        <f>SUMIF('USCG Summary'!$A$25:$A$50,A270,'USCG Summary'!$L$25:$L$50)/3.2808^2</f>
        <v>0</v>
      </c>
      <c r="Z270" s="153">
        <f>SUMIF('USCG Summary'!$A$25:$A$50,A270,'USCG Summary'!$O$25:$O$50)/3.2808^2</f>
        <v>0</v>
      </c>
      <c r="AA270" s="153">
        <f>SUMIF('USCG Summary'!$A$25:$A$50,A270,'USCG Summary'!$P$25:$P$50)/3.2808^2</f>
        <v>0</v>
      </c>
      <c r="AB270" s="153">
        <f>SUMIF('USCG Summary'!$A$25:$A$50,A270,'USCG Summary'!$Q$25:$Q$50)/3.2808^2</f>
        <v>0</v>
      </c>
      <c r="AC270" s="153">
        <f>SUMIF('USCG Summary'!$A$25:$A$50,A270,'USCG Summary'!$T$25:$T$50)/3.2808^2</f>
        <v>0</v>
      </c>
      <c r="AD270" s="153">
        <f>SUMIF('USCG Summary'!$A$25:$A$50,A270,'USCG Summary'!$W$25:$W$50)/3.2808^2</f>
        <v>0</v>
      </c>
      <c r="AE270" s="153">
        <f>SUMIF('USCG Summary'!$A$25:$A$50,A270,'USCG Summary'!$Z$25:$Z$50)/3.2808^2</f>
        <v>0</v>
      </c>
      <c r="AF270" s="153">
        <f>SUMIF(Comp!$A$75:$A$400,Areas!A270,Comp!$F$75:$F$400)</f>
        <v>46.1</v>
      </c>
      <c r="AG270" s="153">
        <f>SUMIF(Comp!$A$75:$A$400,Areas!A270,Comp!$G$75:$G$400)</f>
        <v>46.1</v>
      </c>
      <c r="AH270" s="153"/>
      <c r="AI270" s="153"/>
      <c r="AK270" s="133"/>
    </row>
    <row r="271" spans="1:37" s="148" customFormat="1">
      <c r="A271" s="146" t="s">
        <v>1072</v>
      </c>
      <c r="C271" s="147">
        <f t="shared" ref="C271:F271" si="87">S271</f>
        <v>16.72295389976609</v>
      </c>
      <c r="D271" s="147">
        <f t="shared" si="87"/>
        <v>0</v>
      </c>
      <c r="E271" s="147">
        <f t="shared" si="87"/>
        <v>20.810787075264468</v>
      </c>
      <c r="F271" s="147">
        <f t="shared" si="87"/>
        <v>26.29</v>
      </c>
      <c r="G271" s="411"/>
      <c r="H271" s="411"/>
      <c r="I271" s="411"/>
      <c r="J271" s="411"/>
      <c r="K271" s="411"/>
      <c r="L271" s="411"/>
      <c r="M271" s="411"/>
      <c r="N271" s="411"/>
      <c r="O271" s="411"/>
      <c r="P271" s="147">
        <f t="shared" si="75"/>
        <v>24.1</v>
      </c>
      <c r="Q271" s="147">
        <f t="shared" si="75"/>
        <v>24.1</v>
      </c>
      <c r="S271" s="155">
        <f>SUMIF('Flt III'!D:D,A271,'Flt III'!E:E)/3.2808^2</f>
        <v>16.72295389976609</v>
      </c>
      <c r="T271" s="155">
        <f>SUMIF('Flt IIa'!A:A,A271,'Flt IIa'!E:E)/3.2808^2</f>
        <v>0</v>
      </c>
      <c r="U271" s="155">
        <f>SUMIF('OPC Des'!A:A,A271,'OPC Des'!F:F)/3.2808^2</f>
        <v>20.810787075264468</v>
      </c>
      <c r="V271" s="155">
        <f>SUMIF('LCS 5'!A:A,A271,'LCS 5'!E:E)</f>
        <v>26.29</v>
      </c>
      <c r="W271" s="155">
        <f>SUMIF('USCG Summary'!$A$25:$A$50,A271,'USCG Summary'!$D$25:$D$50)/3.2808^2</f>
        <v>0</v>
      </c>
      <c r="X271" s="155">
        <f>SUMIF('USCG Summary'!$A$25:$A$50,A271,'USCG Summary'!$I$25:$I$50)/3.2808^2</f>
        <v>0</v>
      </c>
      <c r="Y271" s="155">
        <f>SUMIF('USCG Summary'!$A$25:$A$50,A271,'USCG Summary'!$L$25:$L$50)/3.2808^2</f>
        <v>0</v>
      </c>
      <c r="Z271" s="155">
        <f>SUMIF('USCG Summary'!$A$25:$A$50,A271,'USCG Summary'!$O$25:$O$50)/3.2808^2</f>
        <v>0</v>
      </c>
      <c r="AA271" s="155">
        <f>SUMIF('USCG Summary'!$A$25:$A$50,A271,'USCG Summary'!$P$25:$P$50)/3.2808^2</f>
        <v>0</v>
      </c>
      <c r="AB271" s="155">
        <f>SUMIF('USCG Summary'!$A$25:$A$50,A271,'USCG Summary'!$Q$25:$Q$50)/3.2808^2</f>
        <v>0</v>
      </c>
      <c r="AC271" s="155">
        <f>SUMIF('USCG Summary'!$A$25:$A$50,A271,'USCG Summary'!$T$25:$T$50)/3.2808^2</f>
        <v>0</v>
      </c>
      <c r="AD271" s="155">
        <f>SUMIF('USCG Summary'!$A$25:$A$50,A271,'USCG Summary'!$W$25:$W$50)/3.2808^2</f>
        <v>0</v>
      </c>
      <c r="AE271" s="155">
        <f>SUMIF('USCG Summary'!$A$25:$A$50,A271,'USCG Summary'!$Z$25:$Z$50)/3.2808^2</f>
        <v>0</v>
      </c>
      <c r="AF271" s="155">
        <f>SUMIF(Comp!$A$75:$A$400,Areas!A271,Comp!$F$75:$F$400)</f>
        <v>24.1</v>
      </c>
      <c r="AG271" s="155">
        <f>SUMIF(Comp!$A$75:$A$400,Areas!A271,Comp!$G$75:$G$400)</f>
        <v>24.1</v>
      </c>
      <c r="AH271" s="155"/>
      <c r="AI271" s="155"/>
      <c r="AK271" s="147"/>
    </row>
    <row r="272" spans="1:37" s="132" customFormat="1">
      <c r="A272" s="142">
        <v>2.3170000000000002</v>
      </c>
      <c r="B272" s="132" t="str">
        <f>Comp!B244</f>
        <v>DIET PANTRY</v>
      </c>
      <c r="C272" s="143">
        <f>SUM(C273)</f>
        <v>26.942536838512037</v>
      </c>
      <c r="D272" s="143">
        <f>SUM(D273)</f>
        <v>0</v>
      </c>
      <c r="E272" s="143">
        <f>SUM(E273)</f>
        <v>33.910434296747908</v>
      </c>
      <c r="F272" s="143">
        <f>SUM(F273)</f>
        <v>26.29</v>
      </c>
      <c r="G272" s="410"/>
      <c r="H272" s="410"/>
      <c r="I272" s="410"/>
      <c r="J272" s="410"/>
      <c r="K272" s="410"/>
      <c r="L272" s="410"/>
      <c r="M272" s="410"/>
      <c r="N272" s="410"/>
      <c r="O272" s="410"/>
      <c r="P272" s="143">
        <f t="shared" si="75"/>
        <v>6.7</v>
      </c>
      <c r="Q272" s="143">
        <f t="shared" si="75"/>
        <v>6.7</v>
      </c>
      <c r="S272" s="154">
        <f>SUMIF('Flt III'!D:D,A272,'Flt III'!E:E)/3.2808^2</f>
        <v>0</v>
      </c>
      <c r="T272" s="154">
        <f>SUMIF('Flt IIa'!A:A,A272,'Flt IIa'!E:E)/3.2808^2</f>
        <v>0</v>
      </c>
      <c r="U272" s="154">
        <f>SUMIF('OPC Des'!A:A,A272,'OPC Des'!F:F)/3.2808^2</f>
        <v>0</v>
      </c>
      <c r="V272" s="154">
        <f>SUMIF('LCS 5'!A:A,A272,'LCS 5'!E:E)</f>
        <v>0</v>
      </c>
      <c r="W272" s="154">
        <f>SUMIF('USCG Summary'!$A$25:$A$50,A272,'USCG Summary'!$D$25:$D$50)/3.2808^2</f>
        <v>0</v>
      </c>
      <c r="X272" s="154">
        <f>SUMIF('USCG Summary'!$A$25:$A$50,A272,'USCG Summary'!$I$25:$I$50)/3.2808^2</f>
        <v>0</v>
      </c>
      <c r="Y272" s="154">
        <f>SUMIF('USCG Summary'!$A$25:$A$50,A272,'USCG Summary'!$L$25:$L$50)/3.2808^2</f>
        <v>0</v>
      </c>
      <c r="Z272" s="154">
        <f>SUMIF('USCG Summary'!$A$25:$A$50,A272,'USCG Summary'!$O$25:$O$50)/3.2808^2</f>
        <v>0</v>
      </c>
      <c r="AA272" s="154">
        <f>SUMIF('USCG Summary'!$A$25:$A$50,A272,'USCG Summary'!$P$25:$P$50)/3.2808^2</f>
        <v>0</v>
      </c>
      <c r="AB272" s="154">
        <f>SUMIF('USCG Summary'!$A$25:$A$50,A272,'USCG Summary'!$Q$25:$Q$50)/3.2808^2</f>
        <v>0</v>
      </c>
      <c r="AC272" s="154">
        <f>SUMIF('USCG Summary'!$A$25:$A$50,A272,'USCG Summary'!$T$25:$T$50)/3.2808^2</f>
        <v>0</v>
      </c>
      <c r="AD272" s="154">
        <f>SUMIF('USCG Summary'!$A$25:$A$50,A272,'USCG Summary'!$W$25:$W$50)/3.2808^2</f>
        <v>0</v>
      </c>
      <c r="AE272" s="154">
        <f>SUMIF('USCG Summary'!$A$25:$A$50,A272,'USCG Summary'!$Z$25:$Z$50)/3.2808^2</f>
        <v>0</v>
      </c>
      <c r="AF272" s="154">
        <f>SUMIF(Comp!$A$75:$A$400,Areas!A272,Comp!$F$75:$F$400)</f>
        <v>6.7</v>
      </c>
      <c r="AG272" s="154">
        <f>SUMIF(Comp!$A$75:$A$400,Areas!A272,Comp!$G$75:$G$400)</f>
        <v>6.7</v>
      </c>
      <c r="AH272" s="154"/>
      <c r="AI272" s="154"/>
      <c r="AK272" s="143"/>
    </row>
    <row r="273" spans="1:37" s="141" customFormat="1">
      <c r="A273" s="144">
        <v>2.3100999999999998</v>
      </c>
      <c r="B273" s="141" t="str">
        <f>Comp!B245</f>
        <v>INTENSIVE CARE QUIET ROOM</v>
      </c>
      <c r="C273" s="145">
        <f>SUM(C274:C280)+S273</f>
        <v>26.942536838512037</v>
      </c>
      <c r="D273" s="145">
        <f>SUM(D274:D280)+T273</f>
        <v>0</v>
      </c>
      <c r="E273" s="145">
        <f>SUM(E274:E280)+U273</f>
        <v>33.910434296747908</v>
      </c>
      <c r="F273" s="145">
        <f>SUM(F274:F280)+V273</f>
        <v>26.29</v>
      </c>
      <c r="G273" s="412"/>
      <c r="H273" s="412"/>
      <c r="I273" s="412"/>
      <c r="J273" s="412"/>
      <c r="K273" s="412"/>
      <c r="L273" s="412"/>
      <c r="M273" s="412"/>
      <c r="N273" s="412"/>
      <c r="O273" s="412"/>
      <c r="P273" s="145">
        <f t="shared" si="75"/>
        <v>0</v>
      </c>
      <c r="Q273" s="145">
        <f t="shared" si="75"/>
        <v>0</v>
      </c>
      <c r="S273" s="156">
        <f>SUMIF('Flt III'!D:D,A273,'Flt III'!E:E)/3.2808^2</f>
        <v>0</v>
      </c>
      <c r="T273" s="156">
        <f>SUMIF('Flt IIa'!A:A,A273,'Flt IIa'!E:E)/3.2808^2</f>
        <v>0</v>
      </c>
      <c r="U273" s="156">
        <f>SUMIF('OPC Des'!A:A,A273,'OPC Des'!F:F)/3.2808^2</f>
        <v>0</v>
      </c>
      <c r="V273" s="156">
        <f>SUMIF('LCS 5'!A:A,A273,'LCS 5'!E:E)</f>
        <v>0</v>
      </c>
      <c r="W273" s="156">
        <f>SUMIF('USCG Summary'!$A$25:$A$50,A273,'USCG Summary'!$D$25:$D$50)/3.2808^2</f>
        <v>0</v>
      </c>
      <c r="X273" s="156">
        <f>SUMIF('USCG Summary'!$A$25:$A$50,A273,'USCG Summary'!$I$25:$I$50)/3.2808^2</f>
        <v>0</v>
      </c>
      <c r="Y273" s="156">
        <f>SUMIF('USCG Summary'!$A$25:$A$50,A273,'USCG Summary'!$L$25:$L$50)/3.2808^2</f>
        <v>0</v>
      </c>
      <c r="Z273" s="156">
        <f>SUMIF('USCG Summary'!$A$25:$A$50,A273,'USCG Summary'!$O$25:$O$50)/3.2808^2</f>
        <v>0</v>
      </c>
      <c r="AA273" s="156">
        <f>SUMIF('USCG Summary'!$A$25:$A$50,A273,'USCG Summary'!$P$25:$P$50)/3.2808^2</f>
        <v>0</v>
      </c>
      <c r="AB273" s="156">
        <f>SUMIF('USCG Summary'!$A$25:$A$50,A273,'USCG Summary'!$Q$25:$Q$50)/3.2808^2</f>
        <v>0</v>
      </c>
      <c r="AC273" s="156">
        <f>SUMIF('USCG Summary'!$A$25:$A$50,A273,'USCG Summary'!$T$25:$T$50)/3.2808^2</f>
        <v>0</v>
      </c>
      <c r="AD273" s="156">
        <f>SUMIF('USCG Summary'!$A$25:$A$50,A273,'USCG Summary'!$W$25:$W$50)/3.2808^2</f>
        <v>0</v>
      </c>
      <c r="AE273" s="156">
        <f>SUMIF('USCG Summary'!$A$25:$A$50,A273,'USCG Summary'!$Z$25:$Z$50)/3.2808^2</f>
        <v>0</v>
      </c>
      <c r="AF273" s="156">
        <f>SUMIF(Comp!$A$75:$A$400,Areas!A273,Comp!$F$75:$F$400)</f>
        <v>0</v>
      </c>
      <c r="AG273" s="156">
        <f>SUMIF(Comp!$A$75:$A$400,Areas!A273,Comp!$G$75:$G$400)</f>
        <v>0</v>
      </c>
      <c r="AH273" s="156"/>
      <c r="AI273" s="156"/>
      <c r="AK273" s="145"/>
    </row>
    <row r="274" spans="1:37" s="148" customFormat="1">
      <c r="A274" s="146">
        <v>2.3101099999999999</v>
      </c>
      <c r="B274" s="148" t="str">
        <f>Comp!B246</f>
        <v>MEDICAL LINEN ISSUE ROOM</v>
      </c>
      <c r="C274" s="147">
        <f t="shared" ref="C274:F280" si="88">S274</f>
        <v>0</v>
      </c>
      <c r="D274" s="147">
        <f t="shared" si="88"/>
        <v>0</v>
      </c>
      <c r="E274" s="147">
        <f t="shared" si="88"/>
        <v>0</v>
      </c>
      <c r="F274" s="147">
        <f t="shared" si="88"/>
        <v>0</v>
      </c>
      <c r="G274" s="411"/>
      <c r="H274" s="411"/>
      <c r="I274" s="411"/>
      <c r="J274" s="411"/>
      <c r="K274" s="411"/>
      <c r="L274" s="411"/>
      <c r="M274" s="411"/>
      <c r="N274" s="411"/>
      <c r="O274" s="411"/>
      <c r="P274" s="147">
        <f t="shared" si="75"/>
        <v>0</v>
      </c>
      <c r="Q274" s="147">
        <f t="shared" si="75"/>
        <v>0</v>
      </c>
      <c r="S274" s="155">
        <f>SUMIF('Flt III'!D:D,A274,'Flt III'!E:E)/3.2808^2</f>
        <v>0</v>
      </c>
      <c r="T274" s="155">
        <f>SUMIF('Flt IIa'!A:A,A274,'Flt IIa'!E:E)/3.2808^2</f>
        <v>0</v>
      </c>
      <c r="U274" s="155">
        <f>SUMIF('OPC Des'!A:A,A274,'OPC Des'!F:F)/3.2808^2</f>
        <v>0</v>
      </c>
      <c r="V274" s="155">
        <f>SUMIF('LCS 5'!A:A,A274,'LCS 5'!E:E)</f>
        <v>0</v>
      </c>
      <c r="W274" s="155">
        <f>SUMIF('USCG Summary'!$A$25:$A$50,A274,'USCG Summary'!$D$25:$D$50)/3.2808^2</f>
        <v>0</v>
      </c>
      <c r="X274" s="155">
        <f>SUMIF('USCG Summary'!$A$25:$A$50,A274,'USCG Summary'!$I$25:$I$50)/3.2808^2</f>
        <v>0</v>
      </c>
      <c r="Y274" s="155">
        <f>SUMIF('USCG Summary'!$A$25:$A$50,A274,'USCG Summary'!$L$25:$L$50)/3.2808^2</f>
        <v>0</v>
      </c>
      <c r="Z274" s="155">
        <f>SUMIF('USCG Summary'!$A$25:$A$50,A274,'USCG Summary'!$O$25:$O$50)/3.2808^2</f>
        <v>0</v>
      </c>
      <c r="AA274" s="155">
        <f>SUMIF('USCG Summary'!$A$25:$A$50,A274,'USCG Summary'!$P$25:$P$50)/3.2808^2</f>
        <v>0</v>
      </c>
      <c r="AB274" s="155">
        <f>SUMIF('USCG Summary'!$A$25:$A$50,A274,'USCG Summary'!$Q$25:$Q$50)/3.2808^2</f>
        <v>0</v>
      </c>
      <c r="AC274" s="155">
        <f>SUMIF('USCG Summary'!$A$25:$A$50,A274,'USCG Summary'!$T$25:$T$50)/3.2808^2</f>
        <v>0</v>
      </c>
      <c r="AD274" s="155">
        <f>SUMIF('USCG Summary'!$A$25:$A$50,A274,'USCG Summary'!$W$25:$W$50)/3.2808^2</f>
        <v>0</v>
      </c>
      <c r="AE274" s="155">
        <f>SUMIF('USCG Summary'!$A$25:$A$50,A274,'USCG Summary'!$Z$25:$Z$50)/3.2808^2</f>
        <v>0</v>
      </c>
      <c r="AF274" s="155">
        <f>SUMIF(Comp!$A$75:$A$400,Areas!A274,Comp!$F$75:$F$400)</f>
        <v>0</v>
      </c>
      <c r="AG274" s="155">
        <f>SUMIF(Comp!$A$75:$A$400,Areas!A274,Comp!$G$75:$G$400)</f>
        <v>0</v>
      </c>
      <c r="AH274" s="155"/>
      <c r="AI274" s="155"/>
      <c r="AK274" s="147"/>
    </row>
    <row r="275" spans="1:37" s="148" customFormat="1">
      <c r="A275" s="146">
        <v>2.31012</v>
      </c>
      <c r="B275" s="148" t="str">
        <f>Comp!B247</f>
        <v>MEDICAL TREATMENT ROOM</v>
      </c>
      <c r="C275" s="147">
        <f t="shared" si="88"/>
        <v>16.72295389976609</v>
      </c>
      <c r="D275" s="147">
        <f t="shared" si="88"/>
        <v>0</v>
      </c>
      <c r="E275" s="147">
        <f t="shared" si="88"/>
        <v>20.810787075264468</v>
      </c>
      <c r="F275" s="147">
        <f t="shared" si="88"/>
        <v>26.29</v>
      </c>
      <c r="G275" s="411"/>
      <c r="H275" s="411"/>
      <c r="I275" s="411"/>
      <c r="J275" s="411"/>
      <c r="K275" s="411"/>
      <c r="L275" s="411"/>
      <c r="M275" s="411"/>
      <c r="N275" s="411"/>
      <c r="O275" s="411"/>
      <c r="P275" s="147">
        <f t="shared" si="75"/>
        <v>24.1</v>
      </c>
      <c r="Q275" s="147">
        <f t="shared" si="75"/>
        <v>24.1</v>
      </c>
      <c r="S275" s="155">
        <f>SUMIF('Flt III'!D:D,A275,'Flt III'!E:E)/3.2808^2</f>
        <v>16.72295389976609</v>
      </c>
      <c r="T275" s="155">
        <f>SUMIF('Flt IIa'!A:A,A275,'Flt IIa'!E:E)/3.2808^2</f>
        <v>0</v>
      </c>
      <c r="U275" s="155">
        <f>SUMIF('OPC Des'!A:A,A275,'OPC Des'!F:F)/3.2808^2</f>
        <v>20.810787075264468</v>
      </c>
      <c r="V275" s="155">
        <f>SUMIF('LCS 5'!A:A,A275,'LCS 5'!E:E)</f>
        <v>26.29</v>
      </c>
      <c r="W275" s="155">
        <f>SUMIF('USCG Summary'!$A$25:$A$50,A275,'USCG Summary'!$D$25:$D$50)/3.2808^2</f>
        <v>0</v>
      </c>
      <c r="X275" s="155">
        <f>SUMIF('USCG Summary'!$A$25:$A$50,A275,'USCG Summary'!$I$25:$I$50)/3.2808^2</f>
        <v>0</v>
      </c>
      <c r="Y275" s="155">
        <f>SUMIF('USCG Summary'!$A$25:$A$50,A275,'USCG Summary'!$L$25:$L$50)/3.2808^2</f>
        <v>0</v>
      </c>
      <c r="Z275" s="155">
        <f>SUMIF('USCG Summary'!$A$25:$A$50,A275,'USCG Summary'!$O$25:$O$50)/3.2808^2</f>
        <v>0</v>
      </c>
      <c r="AA275" s="155">
        <f>SUMIF('USCG Summary'!$A$25:$A$50,A275,'USCG Summary'!$P$25:$P$50)/3.2808^2</f>
        <v>0</v>
      </c>
      <c r="AB275" s="155">
        <f>SUMIF('USCG Summary'!$A$25:$A$50,A275,'USCG Summary'!$Q$25:$Q$50)/3.2808^2</f>
        <v>0</v>
      </c>
      <c r="AC275" s="155">
        <f>SUMIF('USCG Summary'!$A$25:$A$50,A275,'USCG Summary'!$T$25:$T$50)/3.2808^2</f>
        <v>0</v>
      </c>
      <c r="AD275" s="155">
        <f>SUMIF('USCG Summary'!$A$25:$A$50,A275,'USCG Summary'!$W$25:$W$50)/3.2808^2</f>
        <v>0</v>
      </c>
      <c r="AE275" s="155">
        <f>SUMIF('USCG Summary'!$A$25:$A$50,A275,'USCG Summary'!$Z$25:$Z$50)/3.2808^2</f>
        <v>0</v>
      </c>
      <c r="AF275" s="155">
        <f>SUMIF(Comp!$A$75:$A$400,Areas!A275,Comp!$F$75:$F$400)</f>
        <v>24.1</v>
      </c>
      <c r="AG275" s="155">
        <f>SUMIF(Comp!$A$75:$A$400,Areas!A275,Comp!$G$75:$G$400)</f>
        <v>24.1</v>
      </c>
      <c r="AH275" s="155"/>
      <c r="AI275" s="155"/>
      <c r="AK275" s="147"/>
    </row>
    <row r="276" spans="1:37" s="148" customFormat="1">
      <c r="A276" s="146">
        <v>2.3102299999999998</v>
      </c>
      <c r="B276" s="148" t="str">
        <f>Comp!B248</f>
        <v>MEDICAL UTILITY ROOM</v>
      </c>
      <c r="C276" s="147">
        <f t="shared" si="88"/>
        <v>0</v>
      </c>
      <c r="D276" s="147">
        <f t="shared" si="88"/>
        <v>0</v>
      </c>
      <c r="E276" s="147">
        <f t="shared" si="88"/>
        <v>0</v>
      </c>
      <c r="F276" s="147">
        <f t="shared" si="88"/>
        <v>0</v>
      </c>
      <c r="G276" s="411"/>
      <c r="H276" s="411"/>
      <c r="I276" s="411"/>
      <c r="J276" s="411"/>
      <c r="K276" s="411"/>
      <c r="L276" s="411"/>
      <c r="M276" s="411"/>
      <c r="N276" s="411"/>
      <c r="O276" s="411"/>
      <c r="P276" s="147">
        <f t="shared" si="75"/>
        <v>5.2</v>
      </c>
      <c r="Q276" s="147">
        <f t="shared" si="75"/>
        <v>5.2</v>
      </c>
      <c r="S276" s="155">
        <f>SUMIF('Flt III'!D:D,A276,'Flt III'!E:E)/3.2808^2</f>
        <v>0</v>
      </c>
      <c r="T276" s="155">
        <f>SUMIF('Flt IIa'!A:A,A276,'Flt IIa'!E:E)/3.2808^2</f>
        <v>0</v>
      </c>
      <c r="U276" s="155">
        <f>SUMIF('OPC Des'!A:A,A276,'OPC Des'!F:F)/3.2808^2</f>
        <v>0</v>
      </c>
      <c r="V276" s="155">
        <f>SUMIF('LCS 5'!A:A,A276,'LCS 5'!E:E)</f>
        <v>0</v>
      </c>
      <c r="W276" s="155">
        <f>SUMIF('USCG Summary'!$A$25:$A$50,A276,'USCG Summary'!$D$25:$D$50)/3.2808^2</f>
        <v>0</v>
      </c>
      <c r="X276" s="155">
        <f>SUMIF('USCG Summary'!$A$25:$A$50,A276,'USCG Summary'!$I$25:$I$50)/3.2808^2</f>
        <v>0</v>
      </c>
      <c r="Y276" s="155">
        <f>SUMIF('USCG Summary'!$A$25:$A$50,A276,'USCG Summary'!$L$25:$L$50)/3.2808^2</f>
        <v>0</v>
      </c>
      <c r="Z276" s="155">
        <f>SUMIF('USCG Summary'!$A$25:$A$50,A276,'USCG Summary'!$O$25:$O$50)/3.2808^2</f>
        <v>0</v>
      </c>
      <c r="AA276" s="155">
        <f>SUMIF('USCG Summary'!$A$25:$A$50,A276,'USCG Summary'!$P$25:$P$50)/3.2808^2</f>
        <v>0</v>
      </c>
      <c r="AB276" s="155">
        <f>SUMIF('USCG Summary'!$A$25:$A$50,A276,'USCG Summary'!$Q$25:$Q$50)/3.2808^2</f>
        <v>0</v>
      </c>
      <c r="AC276" s="155">
        <f>SUMIF('USCG Summary'!$A$25:$A$50,A276,'USCG Summary'!$T$25:$T$50)/3.2808^2</f>
        <v>0</v>
      </c>
      <c r="AD276" s="155">
        <f>SUMIF('USCG Summary'!$A$25:$A$50,A276,'USCG Summary'!$W$25:$W$50)/3.2808^2</f>
        <v>0</v>
      </c>
      <c r="AE276" s="155">
        <f>SUMIF('USCG Summary'!$A$25:$A$50,A276,'USCG Summary'!$Z$25:$Z$50)/3.2808^2</f>
        <v>0</v>
      </c>
      <c r="AF276" s="155">
        <f>SUMIF(Comp!$A$75:$A$400,Areas!A276,Comp!$F$75:$F$400)</f>
        <v>5.2</v>
      </c>
      <c r="AG276" s="155">
        <f>SUMIF(Comp!$A$75:$A$400,Areas!A276,Comp!$G$75:$G$400)</f>
        <v>5.2</v>
      </c>
      <c r="AH276" s="155"/>
      <c r="AI276" s="155"/>
      <c r="AK276" s="147"/>
    </row>
    <row r="277" spans="1:37" s="148" customFormat="1">
      <c r="A277" s="146">
        <v>2.3102399999999998</v>
      </c>
      <c r="B277" s="148" t="str">
        <f>Comp!B249</f>
        <v>WARD</v>
      </c>
      <c r="C277" s="147">
        <f t="shared" si="88"/>
        <v>6.7820868593495813</v>
      </c>
      <c r="D277" s="147">
        <f t="shared" si="88"/>
        <v>0</v>
      </c>
      <c r="E277" s="147">
        <f t="shared" si="88"/>
        <v>9.8479617409733642</v>
      </c>
      <c r="F277" s="147">
        <f t="shared" si="88"/>
        <v>0</v>
      </c>
      <c r="G277" s="411"/>
      <c r="H277" s="411"/>
      <c r="I277" s="411"/>
      <c r="J277" s="411"/>
      <c r="K277" s="411"/>
      <c r="L277" s="411"/>
      <c r="M277" s="411"/>
      <c r="N277" s="411"/>
      <c r="O277" s="411"/>
      <c r="P277" s="147">
        <f t="shared" si="75"/>
        <v>4.5</v>
      </c>
      <c r="Q277" s="147">
        <f t="shared" si="75"/>
        <v>4.5</v>
      </c>
      <c r="S277" s="155">
        <f>SUMIF('Flt III'!D:D,A277,'Flt III'!E:E)/3.2808^2</f>
        <v>6.7820868593495813</v>
      </c>
      <c r="T277" s="155">
        <f>SUMIF('Flt IIa'!A:A,A277,'Flt IIa'!E:E)/3.2808^2</f>
        <v>0</v>
      </c>
      <c r="U277" s="155">
        <f>SUMIF('OPC Des'!A:A,A277,'OPC Des'!F:F)/3.2808^2</f>
        <v>9.8479617409733642</v>
      </c>
      <c r="V277" s="155">
        <f>SUMIF('LCS 5'!A:A,A277,'LCS 5'!E:E)</f>
        <v>0</v>
      </c>
      <c r="W277" s="155">
        <f>SUMIF('USCG Summary'!$A$25:$A$50,A277,'USCG Summary'!$D$25:$D$50)/3.2808^2</f>
        <v>0</v>
      </c>
      <c r="X277" s="155">
        <f>SUMIF('USCG Summary'!$A$25:$A$50,A277,'USCG Summary'!$I$25:$I$50)/3.2808^2</f>
        <v>0</v>
      </c>
      <c r="Y277" s="155">
        <f>SUMIF('USCG Summary'!$A$25:$A$50,A277,'USCG Summary'!$L$25:$L$50)/3.2808^2</f>
        <v>0</v>
      </c>
      <c r="Z277" s="155">
        <f>SUMIF('USCG Summary'!$A$25:$A$50,A277,'USCG Summary'!$O$25:$O$50)/3.2808^2</f>
        <v>0</v>
      </c>
      <c r="AA277" s="155">
        <f>SUMIF('USCG Summary'!$A$25:$A$50,A277,'USCG Summary'!$P$25:$P$50)/3.2808^2</f>
        <v>0</v>
      </c>
      <c r="AB277" s="155">
        <f>SUMIF('USCG Summary'!$A$25:$A$50,A277,'USCG Summary'!$Q$25:$Q$50)/3.2808^2</f>
        <v>0</v>
      </c>
      <c r="AC277" s="155">
        <f>SUMIF('USCG Summary'!$A$25:$A$50,A277,'USCG Summary'!$T$25:$T$50)/3.2808^2</f>
        <v>0</v>
      </c>
      <c r="AD277" s="155">
        <f>SUMIF('USCG Summary'!$A$25:$A$50,A277,'USCG Summary'!$W$25:$W$50)/3.2808^2</f>
        <v>0</v>
      </c>
      <c r="AE277" s="155">
        <f>SUMIF('USCG Summary'!$A$25:$A$50,A277,'USCG Summary'!$Z$25:$Z$50)/3.2808^2</f>
        <v>0</v>
      </c>
      <c r="AF277" s="155">
        <f>SUMIF(Comp!$A$75:$A$400,Areas!A277,Comp!$F$75:$F$400)</f>
        <v>4.5</v>
      </c>
      <c r="AG277" s="155">
        <f>SUMIF(Comp!$A$75:$A$400,Areas!A277,Comp!$G$75:$G$400)</f>
        <v>4.5</v>
      </c>
      <c r="AH277" s="155"/>
      <c r="AI277" s="155"/>
      <c r="AK277" s="147"/>
    </row>
    <row r="278" spans="1:37" s="148" customFormat="1">
      <c r="A278" s="146">
        <v>2.3102499999999999</v>
      </c>
      <c r="B278" s="148" t="str">
        <f>Comp!B250</f>
        <v>WARD BATH</v>
      </c>
      <c r="C278" s="147">
        <f t="shared" si="88"/>
        <v>0</v>
      </c>
      <c r="D278" s="147">
        <f t="shared" si="88"/>
        <v>0</v>
      </c>
      <c r="E278" s="147">
        <f t="shared" si="88"/>
        <v>3.2516854805100732</v>
      </c>
      <c r="F278" s="147">
        <f t="shared" si="88"/>
        <v>0</v>
      </c>
      <c r="G278" s="411"/>
      <c r="H278" s="411"/>
      <c r="I278" s="411"/>
      <c r="J278" s="411"/>
      <c r="K278" s="411"/>
      <c r="L278" s="411"/>
      <c r="M278" s="411"/>
      <c r="N278" s="411"/>
      <c r="O278" s="411"/>
      <c r="P278" s="147">
        <f t="shared" si="75"/>
        <v>5.5</v>
      </c>
      <c r="Q278" s="147">
        <f t="shared" si="75"/>
        <v>5.5</v>
      </c>
      <c r="S278" s="155">
        <f>SUMIF('Flt III'!D:D,A278,'Flt III'!E:E)/3.2808^2</f>
        <v>0</v>
      </c>
      <c r="T278" s="155">
        <f>SUMIF('Flt IIa'!A:A,A278,'Flt IIa'!E:E)/3.2808^2</f>
        <v>0</v>
      </c>
      <c r="U278" s="155">
        <f>SUMIF('OPC Des'!A:A,A278,'OPC Des'!F:F)/3.2808^2</f>
        <v>3.2516854805100732</v>
      </c>
      <c r="V278" s="155">
        <f>SUMIF('LCS 5'!A:A,A278,'LCS 5'!E:E)</f>
        <v>0</v>
      </c>
      <c r="W278" s="155">
        <f>SUMIF('USCG Summary'!$A$25:$A$50,A278,'USCG Summary'!$D$25:$D$50)/3.2808^2</f>
        <v>0</v>
      </c>
      <c r="X278" s="155">
        <f>SUMIF('USCG Summary'!$A$25:$A$50,A278,'USCG Summary'!$I$25:$I$50)/3.2808^2</f>
        <v>0</v>
      </c>
      <c r="Y278" s="155">
        <f>SUMIF('USCG Summary'!$A$25:$A$50,A278,'USCG Summary'!$L$25:$L$50)/3.2808^2</f>
        <v>0</v>
      </c>
      <c r="Z278" s="155">
        <f>SUMIF('USCG Summary'!$A$25:$A$50,A278,'USCG Summary'!$O$25:$O$50)/3.2808^2</f>
        <v>0</v>
      </c>
      <c r="AA278" s="155">
        <f>SUMIF('USCG Summary'!$A$25:$A$50,A278,'USCG Summary'!$P$25:$P$50)/3.2808^2</f>
        <v>0</v>
      </c>
      <c r="AB278" s="155">
        <f>SUMIF('USCG Summary'!$A$25:$A$50,A278,'USCG Summary'!$Q$25:$Q$50)/3.2808^2</f>
        <v>0</v>
      </c>
      <c r="AC278" s="155">
        <f>SUMIF('USCG Summary'!$A$25:$A$50,A278,'USCG Summary'!$T$25:$T$50)/3.2808^2</f>
        <v>0</v>
      </c>
      <c r="AD278" s="155">
        <f>SUMIF('USCG Summary'!$A$25:$A$50,A278,'USCG Summary'!$W$25:$W$50)/3.2808^2</f>
        <v>0</v>
      </c>
      <c r="AE278" s="155">
        <f>SUMIF('USCG Summary'!$A$25:$A$50,A278,'USCG Summary'!$Z$25:$Z$50)/3.2808^2</f>
        <v>0</v>
      </c>
      <c r="AF278" s="155">
        <f>SUMIF(Comp!$A$75:$A$400,Areas!A278,Comp!$F$75:$F$400)</f>
        <v>5.5</v>
      </c>
      <c r="AG278" s="155">
        <f>SUMIF(Comp!$A$75:$A$400,Areas!A278,Comp!$G$75:$G$400)</f>
        <v>5.5</v>
      </c>
      <c r="AH278" s="155"/>
      <c r="AI278" s="155"/>
      <c r="AK278" s="147"/>
    </row>
    <row r="279" spans="1:37" s="148" customFormat="1">
      <c r="A279" s="146" t="s">
        <v>1066</v>
      </c>
      <c r="C279" s="147">
        <f t="shared" si="88"/>
        <v>3.4374960793963631</v>
      </c>
      <c r="D279" s="147">
        <f t="shared" si="88"/>
        <v>0</v>
      </c>
      <c r="E279" s="147">
        <f t="shared" si="88"/>
        <v>0</v>
      </c>
      <c r="F279" s="147">
        <f t="shared" si="88"/>
        <v>0</v>
      </c>
      <c r="G279" s="411"/>
      <c r="H279" s="411"/>
      <c r="I279" s="411"/>
      <c r="J279" s="411"/>
      <c r="K279" s="411"/>
      <c r="L279" s="411"/>
      <c r="M279" s="411"/>
      <c r="N279" s="411"/>
      <c r="O279" s="411"/>
      <c r="P279" s="147">
        <f t="shared" si="75"/>
        <v>0</v>
      </c>
      <c r="Q279" s="147">
        <f t="shared" si="75"/>
        <v>0</v>
      </c>
      <c r="S279" s="155">
        <f>SUMIF('Flt III'!D:D,A279,'Flt III'!E:E)/3.2808^2</f>
        <v>3.4374960793963631</v>
      </c>
      <c r="T279" s="155">
        <f>SUMIF('Flt IIa'!A:A,A279,'Flt IIa'!E:E)/3.2808^2</f>
        <v>0</v>
      </c>
      <c r="U279" s="155">
        <f>SUMIF('OPC Des'!A:A,A279,'OPC Des'!F:F)/3.2808^2</f>
        <v>0</v>
      </c>
      <c r="V279" s="155">
        <f>SUMIF('LCS 5'!A:A,A279,'LCS 5'!E:E)</f>
        <v>0</v>
      </c>
      <c r="W279" s="155">
        <f>SUMIF('USCG Summary'!$A$25:$A$50,A279,'USCG Summary'!$D$25:$D$50)/3.2808^2</f>
        <v>0</v>
      </c>
      <c r="X279" s="155">
        <f>SUMIF('USCG Summary'!$A$25:$A$50,A279,'USCG Summary'!$I$25:$I$50)/3.2808^2</f>
        <v>0</v>
      </c>
      <c r="Y279" s="155">
        <f>SUMIF('USCG Summary'!$A$25:$A$50,A279,'USCG Summary'!$L$25:$L$50)/3.2808^2</f>
        <v>0</v>
      </c>
      <c r="Z279" s="155">
        <f>SUMIF('USCG Summary'!$A$25:$A$50,A279,'USCG Summary'!$O$25:$O$50)/3.2808^2</f>
        <v>0</v>
      </c>
      <c r="AA279" s="155">
        <f>SUMIF('USCG Summary'!$A$25:$A$50,A279,'USCG Summary'!$P$25:$P$50)/3.2808^2</f>
        <v>0</v>
      </c>
      <c r="AB279" s="155">
        <f>SUMIF('USCG Summary'!$A$25:$A$50,A279,'USCG Summary'!$Q$25:$Q$50)/3.2808^2</f>
        <v>0</v>
      </c>
      <c r="AC279" s="155">
        <f>SUMIF('USCG Summary'!$A$25:$A$50,A279,'USCG Summary'!$T$25:$T$50)/3.2808^2</f>
        <v>0</v>
      </c>
      <c r="AD279" s="155">
        <f>SUMIF('USCG Summary'!$A$25:$A$50,A279,'USCG Summary'!$W$25:$W$50)/3.2808^2</f>
        <v>0</v>
      </c>
      <c r="AE279" s="155">
        <f>SUMIF('USCG Summary'!$A$25:$A$50,A279,'USCG Summary'!$Z$25:$Z$50)/3.2808^2</f>
        <v>0</v>
      </c>
      <c r="AF279" s="155">
        <f>SUMIF(Comp!$A$75:$A$400,Areas!A279,Comp!$F$75:$F$400)</f>
        <v>0</v>
      </c>
      <c r="AG279" s="155">
        <f>SUMIF(Comp!$A$75:$A$400,Areas!A279,Comp!$G$75:$G$400)</f>
        <v>0</v>
      </c>
      <c r="AH279" s="155"/>
      <c r="AI279" s="155"/>
      <c r="AK279" s="147"/>
    </row>
    <row r="280" spans="1:37" s="148" customFormat="1">
      <c r="A280" s="146">
        <v>2.31027</v>
      </c>
      <c r="B280" s="148" t="str">
        <f>Comp!B251</f>
        <v>MORGUE</v>
      </c>
      <c r="C280" s="147">
        <f t="shared" si="88"/>
        <v>0</v>
      </c>
      <c r="D280" s="147">
        <f t="shared" si="88"/>
        <v>0</v>
      </c>
      <c r="E280" s="147">
        <f t="shared" si="88"/>
        <v>0</v>
      </c>
      <c r="F280" s="147">
        <f t="shared" si="88"/>
        <v>0</v>
      </c>
      <c r="G280" s="411"/>
      <c r="H280" s="411"/>
      <c r="I280" s="411"/>
      <c r="J280" s="411"/>
      <c r="K280" s="411"/>
      <c r="L280" s="411"/>
      <c r="M280" s="411"/>
      <c r="N280" s="411"/>
      <c r="O280" s="411"/>
      <c r="P280" s="147">
        <f t="shared" si="75"/>
        <v>0</v>
      </c>
      <c r="Q280" s="147">
        <f t="shared" si="75"/>
        <v>0</v>
      </c>
      <c r="S280" s="155">
        <f>SUMIF('Flt III'!D:D,A280,'Flt III'!E:E)/3.2808^2</f>
        <v>0</v>
      </c>
      <c r="T280" s="155">
        <f>SUMIF('Flt IIa'!A:A,A280,'Flt IIa'!E:E)/3.2808^2</f>
        <v>0</v>
      </c>
      <c r="U280" s="155">
        <f>SUMIF('OPC Des'!A:A,A280,'OPC Des'!F:F)/3.2808^2</f>
        <v>0</v>
      </c>
      <c r="V280" s="155">
        <f>SUMIF('LCS 5'!A:A,A280,'LCS 5'!E:E)</f>
        <v>0</v>
      </c>
      <c r="W280" s="155">
        <f>SUMIF('USCG Summary'!$A$25:$A$50,A280,'USCG Summary'!$D$25:$D$50)/3.2808^2</f>
        <v>0</v>
      </c>
      <c r="X280" s="155">
        <f>SUMIF('USCG Summary'!$A$25:$A$50,A280,'USCG Summary'!$I$25:$I$50)/3.2808^2</f>
        <v>0</v>
      </c>
      <c r="Y280" s="155">
        <f>SUMIF('USCG Summary'!$A$25:$A$50,A280,'USCG Summary'!$L$25:$L$50)/3.2808^2</f>
        <v>0</v>
      </c>
      <c r="Z280" s="155">
        <f>SUMIF('USCG Summary'!$A$25:$A$50,A280,'USCG Summary'!$O$25:$O$50)/3.2808^2</f>
        <v>0</v>
      </c>
      <c r="AA280" s="155">
        <f>SUMIF('USCG Summary'!$A$25:$A$50,A280,'USCG Summary'!$P$25:$P$50)/3.2808^2</f>
        <v>0</v>
      </c>
      <c r="AB280" s="155">
        <f>SUMIF('USCG Summary'!$A$25:$A$50,A280,'USCG Summary'!$Q$25:$Q$50)/3.2808^2</f>
        <v>0</v>
      </c>
      <c r="AC280" s="155">
        <f>SUMIF('USCG Summary'!$A$25:$A$50,A280,'USCG Summary'!$T$25:$T$50)/3.2808^2</f>
        <v>0</v>
      </c>
      <c r="AD280" s="155">
        <f>SUMIF('USCG Summary'!$A$25:$A$50,A280,'USCG Summary'!$W$25:$W$50)/3.2808^2</f>
        <v>0</v>
      </c>
      <c r="AE280" s="155">
        <f>SUMIF('USCG Summary'!$A$25:$A$50,A280,'USCG Summary'!$Z$25:$Z$50)/3.2808^2</f>
        <v>0</v>
      </c>
      <c r="AF280" s="155">
        <f>SUMIF(Comp!$A$75:$A$400,Areas!A280,Comp!$F$75:$F$400)</f>
        <v>0</v>
      </c>
      <c r="AG280" s="155">
        <f>SUMIF(Comp!$A$75:$A$400,Areas!A280,Comp!$G$75:$G$400)</f>
        <v>0</v>
      </c>
      <c r="AH280" s="155"/>
      <c r="AI280" s="155"/>
      <c r="AK280" s="147"/>
    </row>
    <row r="281" spans="1:37" s="134" customFormat="1">
      <c r="A281" s="140">
        <v>2.33</v>
      </c>
      <c r="B281" s="134" t="str">
        <f>Comp!B252</f>
        <v>BATTLE DRESSING</v>
      </c>
      <c r="C281" s="149">
        <f>C282+C283</f>
        <v>14.586132012573756</v>
      </c>
      <c r="D281" s="149">
        <f>D282+D283</f>
        <v>14.679037312016902</v>
      </c>
      <c r="E281" s="149">
        <f>E282+E283</f>
        <v>0</v>
      </c>
      <c r="F281" s="149">
        <f>F282+F283</f>
        <v>0</v>
      </c>
      <c r="G281" s="409"/>
      <c r="H281" s="409"/>
      <c r="I281" s="409"/>
      <c r="J281" s="409"/>
      <c r="K281" s="409"/>
      <c r="L281" s="409"/>
      <c r="M281" s="409"/>
      <c r="N281" s="409"/>
      <c r="O281" s="409"/>
      <c r="P281" s="149">
        <f t="shared" si="75"/>
        <v>13.9</v>
      </c>
      <c r="Q281" s="149">
        <f t="shared" si="75"/>
        <v>13.9</v>
      </c>
      <c r="S281" s="153">
        <f>SUMIF('Flt III'!D:D,A281,'Flt III'!E:E)/3.2808^2</f>
        <v>0</v>
      </c>
      <c r="T281" s="153">
        <f>SUMIF('Flt IIa'!A:A,A281,'Flt IIa'!E:E)/3.2808^2</f>
        <v>0</v>
      </c>
      <c r="U281" s="153">
        <f>SUMIF('OPC Des'!A:A,A281,'OPC Des'!F:F)/3.2808^2</f>
        <v>0</v>
      </c>
      <c r="V281" s="153">
        <f>SUMIF('LCS 5'!A:A,A281,'LCS 5'!E:E)</f>
        <v>0</v>
      </c>
      <c r="W281" s="153">
        <f>SUMIF('USCG Summary'!$A$25:$A$50,A281,'USCG Summary'!$D$25:$D$50)/3.2808^2</f>
        <v>0</v>
      </c>
      <c r="X281" s="153">
        <f>SUMIF('USCG Summary'!$A$25:$A$50,A281,'USCG Summary'!$I$25:$I$50)/3.2808^2</f>
        <v>0</v>
      </c>
      <c r="Y281" s="153">
        <f>SUMIF('USCG Summary'!$A$25:$A$50,A281,'USCG Summary'!$L$25:$L$50)/3.2808^2</f>
        <v>0</v>
      </c>
      <c r="Z281" s="153">
        <f>SUMIF('USCG Summary'!$A$25:$A$50,A281,'USCG Summary'!$O$25:$O$50)/3.2808^2</f>
        <v>0</v>
      </c>
      <c r="AA281" s="153">
        <f>SUMIF('USCG Summary'!$A$25:$A$50,A281,'USCG Summary'!$P$25:$P$50)/3.2808^2</f>
        <v>0</v>
      </c>
      <c r="AB281" s="153">
        <f>SUMIF('USCG Summary'!$A$25:$A$50,A281,'USCG Summary'!$Q$25:$Q$50)/3.2808^2</f>
        <v>0</v>
      </c>
      <c r="AC281" s="153">
        <f>SUMIF('USCG Summary'!$A$25:$A$50,A281,'USCG Summary'!$T$25:$T$50)/3.2808^2</f>
        <v>0</v>
      </c>
      <c r="AD281" s="153">
        <f>SUMIF('USCG Summary'!$A$25:$A$50,A281,'USCG Summary'!$W$25:$W$50)/3.2808^2</f>
        <v>0</v>
      </c>
      <c r="AE281" s="153">
        <f>SUMIF('USCG Summary'!$A$25:$A$50,A281,'USCG Summary'!$Z$25:$Z$50)/3.2808^2</f>
        <v>0</v>
      </c>
      <c r="AF281" s="153">
        <f>SUMIF(Comp!$A$75:$A$400,Areas!A281,Comp!$F$75:$F$400)</f>
        <v>13.9</v>
      </c>
      <c r="AG281" s="153">
        <f>SUMIF(Comp!$A$75:$A$400,Areas!A281,Comp!$G$75:$G$400)</f>
        <v>13.9</v>
      </c>
      <c r="AH281" s="153"/>
      <c r="AI281" s="153"/>
      <c r="AK281" s="133"/>
    </row>
    <row r="282" spans="1:37" s="132" customFormat="1">
      <c r="A282" s="142">
        <v>2.331</v>
      </c>
      <c r="B282" s="132" t="str">
        <f>Comp!B253</f>
        <v>AUX BATTLE DRESSING</v>
      </c>
      <c r="C282" s="143">
        <f>S282</f>
        <v>0</v>
      </c>
      <c r="D282" s="143">
        <f>T282</f>
        <v>0</v>
      </c>
      <c r="E282" s="143">
        <f>U282</f>
        <v>0</v>
      </c>
      <c r="F282" s="143">
        <f>V282</f>
        <v>0</v>
      </c>
      <c r="G282" s="410"/>
      <c r="H282" s="410"/>
      <c r="I282" s="410"/>
      <c r="J282" s="410"/>
      <c r="K282" s="410"/>
      <c r="L282" s="410"/>
      <c r="M282" s="410"/>
      <c r="N282" s="410"/>
      <c r="O282" s="410"/>
      <c r="P282" s="143">
        <f t="shared" si="75"/>
        <v>0</v>
      </c>
      <c r="Q282" s="143">
        <f t="shared" si="75"/>
        <v>0</v>
      </c>
      <c r="S282" s="154">
        <f>SUMIF('Flt III'!D:D,A282,'Flt III'!E:E)/3.2808^2</f>
        <v>0</v>
      </c>
      <c r="T282" s="154">
        <f>SUMIF('Flt IIa'!A:A,A282,'Flt IIa'!E:E)/3.2808^2</f>
        <v>0</v>
      </c>
      <c r="U282" s="154">
        <f>SUMIF('OPC Des'!A:A,A282,'OPC Des'!F:F)/3.2808^2</f>
        <v>0</v>
      </c>
      <c r="V282" s="154">
        <f>SUMIF('LCS 5'!A:A,A282,'LCS 5'!E:E)</f>
        <v>0</v>
      </c>
      <c r="W282" s="154">
        <f>SUMIF('USCG Summary'!$A$25:$A$50,A282,'USCG Summary'!$D$25:$D$50)/3.2808^2</f>
        <v>0</v>
      </c>
      <c r="X282" s="154">
        <f>SUMIF('USCG Summary'!$A$25:$A$50,A282,'USCG Summary'!$I$25:$I$50)/3.2808^2</f>
        <v>0</v>
      </c>
      <c r="Y282" s="154">
        <f>SUMIF('USCG Summary'!$A$25:$A$50,A282,'USCG Summary'!$L$25:$L$50)/3.2808^2</f>
        <v>0</v>
      </c>
      <c r="Z282" s="154">
        <f>SUMIF('USCG Summary'!$A$25:$A$50,A282,'USCG Summary'!$O$25:$O$50)/3.2808^2</f>
        <v>0</v>
      </c>
      <c r="AA282" s="154">
        <f>SUMIF('USCG Summary'!$A$25:$A$50,A282,'USCG Summary'!$P$25:$P$50)/3.2808^2</f>
        <v>0</v>
      </c>
      <c r="AB282" s="154">
        <f>SUMIF('USCG Summary'!$A$25:$A$50,A282,'USCG Summary'!$Q$25:$Q$50)/3.2808^2</f>
        <v>0</v>
      </c>
      <c r="AC282" s="154">
        <f>SUMIF('USCG Summary'!$A$25:$A$50,A282,'USCG Summary'!$T$25:$T$50)/3.2808^2</f>
        <v>0</v>
      </c>
      <c r="AD282" s="154">
        <f>SUMIF('USCG Summary'!$A$25:$A$50,A282,'USCG Summary'!$W$25:$W$50)/3.2808^2</f>
        <v>0</v>
      </c>
      <c r="AE282" s="154">
        <f>SUMIF('USCG Summary'!$A$25:$A$50,A282,'USCG Summary'!$Z$25:$Z$50)/3.2808^2</f>
        <v>0</v>
      </c>
      <c r="AF282" s="154">
        <f>SUMIF(Comp!$A$75:$A$400,Areas!A282,Comp!$F$75:$F$400)</f>
        <v>0</v>
      </c>
      <c r="AG282" s="154">
        <f>SUMIF(Comp!$A$75:$A$400,Areas!A282,Comp!$G$75:$G$400)</f>
        <v>0</v>
      </c>
      <c r="AH282" s="154"/>
      <c r="AI282" s="154"/>
      <c r="AK282" s="143"/>
    </row>
    <row r="283" spans="1:37" s="132" customFormat="1">
      <c r="A283" s="142">
        <v>2.3319999999999999</v>
      </c>
      <c r="B283" s="132" t="str">
        <f>Comp!B254</f>
        <v>MAIN BATTLE DRESSING</v>
      </c>
      <c r="C283" s="143">
        <f>SUM(C284)</f>
        <v>14.586132012573756</v>
      </c>
      <c r="D283" s="143">
        <f>T283</f>
        <v>14.679037312016902</v>
      </c>
      <c r="E283" s="143">
        <f>U283</f>
        <v>0</v>
      </c>
      <c r="F283" s="143">
        <f>V283</f>
        <v>0</v>
      </c>
      <c r="G283" s="410"/>
      <c r="H283" s="410"/>
      <c r="I283" s="410"/>
      <c r="J283" s="410"/>
      <c r="K283" s="410"/>
      <c r="L283" s="410"/>
      <c r="M283" s="410"/>
      <c r="N283" s="410"/>
      <c r="O283" s="410"/>
      <c r="P283" s="143">
        <f t="shared" si="75"/>
        <v>13.9</v>
      </c>
      <c r="Q283" s="143">
        <f t="shared" si="75"/>
        <v>13.9</v>
      </c>
      <c r="S283" s="154">
        <f>SUMIF('Flt III'!D:D,A283,'Flt III'!E:E)/3.2808^2</f>
        <v>0</v>
      </c>
      <c r="T283" s="154">
        <f>SUMIF('Flt IIa'!A:A,A283,'Flt IIa'!E:E)/3.2808^2</f>
        <v>14.679037312016902</v>
      </c>
      <c r="U283" s="154">
        <f>SUMIF('OPC Des'!A:A,A283,'OPC Des'!F:F)/3.2808^2</f>
        <v>0</v>
      </c>
      <c r="V283" s="154">
        <f>SUMIF('LCS 5'!A:A,A283,'LCS 5'!E:E)</f>
        <v>0</v>
      </c>
      <c r="W283" s="154">
        <f>SUMIF('USCG Summary'!$A$25:$A$50,A283,'USCG Summary'!$D$25:$D$50)/3.2808^2</f>
        <v>0</v>
      </c>
      <c r="X283" s="154">
        <f>SUMIF('USCG Summary'!$A$25:$A$50,A283,'USCG Summary'!$I$25:$I$50)/3.2808^2</f>
        <v>0</v>
      </c>
      <c r="Y283" s="154">
        <f>SUMIF('USCG Summary'!$A$25:$A$50,A283,'USCG Summary'!$L$25:$L$50)/3.2808^2</f>
        <v>0</v>
      </c>
      <c r="Z283" s="154">
        <f>SUMIF('USCG Summary'!$A$25:$A$50,A283,'USCG Summary'!$O$25:$O$50)/3.2808^2</f>
        <v>0</v>
      </c>
      <c r="AA283" s="154">
        <f>SUMIF('USCG Summary'!$A$25:$A$50,A283,'USCG Summary'!$P$25:$P$50)/3.2808^2</f>
        <v>0</v>
      </c>
      <c r="AB283" s="154">
        <f>SUMIF('USCG Summary'!$A$25:$A$50,A283,'USCG Summary'!$Q$25:$Q$50)/3.2808^2</f>
        <v>0</v>
      </c>
      <c r="AC283" s="154">
        <f>SUMIF('USCG Summary'!$A$25:$A$50,A283,'USCG Summary'!$T$25:$T$50)/3.2808^2</f>
        <v>0</v>
      </c>
      <c r="AD283" s="154">
        <f>SUMIF('USCG Summary'!$A$25:$A$50,A283,'USCG Summary'!$W$25:$W$50)/3.2808^2</f>
        <v>0</v>
      </c>
      <c r="AE283" s="154">
        <f>SUMIF('USCG Summary'!$A$25:$A$50,A283,'USCG Summary'!$Z$25:$Z$50)/3.2808^2</f>
        <v>0</v>
      </c>
      <c r="AF283" s="154">
        <f>SUMIF(Comp!$A$75:$A$400,Areas!A283,Comp!$F$75:$F$400)</f>
        <v>13.9</v>
      </c>
      <c r="AG283" s="154">
        <f>SUMIF(Comp!$A$75:$A$400,Areas!A283,Comp!$G$75:$G$400)</f>
        <v>13.9</v>
      </c>
      <c r="AH283" s="154"/>
      <c r="AI283" s="154"/>
      <c r="AK283" s="143"/>
    </row>
    <row r="284" spans="1:37" s="148" customFormat="1">
      <c r="A284" s="146" t="s">
        <v>1061</v>
      </c>
      <c r="C284" s="147">
        <f t="shared" ref="C284:F284" si="89">S284</f>
        <v>14.586132012573756</v>
      </c>
      <c r="D284" s="147">
        <f t="shared" si="89"/>
        <v>0</v>
      </c>
      <c r="E284" s="147">
        <f t="shared" si="89"/>
        <v>0</v>
      </c>
      <c r="F284" s="147">
        <f t="shared" si="89"/>
        <v>0</v>
      </c>
      <c r="G284" s="411"/>
      <c r="H284" s="411"/>
      <c r="I284" s="411"/>
      <c r="J284" s="411"/>
      <c r="K284" s="411"/>
      <c r="L284" s="411"/>
      <c r="M284" s="411"/>
      <c r="N284" s="411"/>
      <c r="O284" s="411"/>
      <c r="P284" s="147">
        <f t="shared" si="75"/>
        <v>0</v>
      </c>
      <c r="Q284" s="147">
        <f t="shared" si="75"/>
        <v>0</v>
      </c>
      <c r="S284" s="155">
        <f>SUMIF('Flt III'!D:D,A284,'Flt III'!E:E)/3.2808^2</f>
        <v>14.586132012573756</v>
      </c>
      <c r="T284" s="155">
        <f>SUMIF('Flt IIa'!A:A,A284,'Flt IIa'!E:E)/3.2808^2</f>
        <v>0</v>
      </c>
      <c r="U284" s="155">
        <f>SUMIF('OPC Des'!A:A,A284,'OPC Des'!F:F)/3.2808^2</f>
        <v>0</v>
      </c>
      <c r="V284" s="155">
        <f>SUMIF('LCS 5'!A:A,A284,'LCS 5'!E:E)</f>
        <v>0</v>
      </c>
      <c r="W284" s="155">
        <f>SUMIF('USCG Summary'!$A$25:$A$50,A284,'USCG Summary'!$D$25:$D$50)/3.2808^2</f>
        <v>0</v>
      </c>
      <c r="X284" s="155">
        <f>SUMIF('USCG Summary'!$A$25:$A$50,A284,'USCG Summary'!$I$25:$I$50)/3.2808^2</f>
        <v>0</v>
      </c>
      <c r="Y284" s="155">
        <f>SUMIF('USCG Summary'!$A$25:$A$50,A284,'USCG Summary'!$L$25:$L$50)/3.2808^2</f>
        <v>0</v>
      </c>
      <c r="Z284" s="155">
        <f>SUMIF('USCG Summary'!$A$25:$A$50,A284,'USCG Summary'!$O$25:$O$50)/3.2808^2</f>
        <v>0</v>
      </c>
      <c r="AA284" s="155">
        <f>SUMIF('USCG Summary'!$A$25:$A$50,A284,'USCG Summary'!$P$25:$P$50)/3.2808^2</f>
        <v>0</v>
      </c>
      <c r="AB284" s="155">
        <f>SUMIF('USCG Summary'!$A$25:$A$50,A284,'USCG Summary'!$Q$25:$Q$50)/3.2808^2</f>
        <v>0</v>
      </c>
      <c r="AC284" s="155">
        <f>SUMIF('USCG Summary'!$A$25:$A$50,A284,'USCG Summary'!$T$25:$T$50)/3.2808^2</f>
        <v>0</v>
      </c>
      <c r="AD284" s="155">
        <f>SUMIF('USCG Summary'!$A$25:$A$50,A284,'USCG Summary'!$W$25:$W$50)/3.2808^2</f>
        <v>0</v>
      </c>
      <c r="AE284" s="155">
        <f>SUMIF('USCG Summary'!$A$25:$A$50,A284,'USCG Summary'!$Z$25:$Z$50)/3.2808^2</f>
        <v>0</v>
      </c>
      <c r="AF284" s="155">
        <f>SUMIF(Comp!$A$75:$A$400,Areas!A284,Comp!$F$75:$F$400)</f>
        <v>0</v>
      </c>
      <c r="AG284" s="155">
        <f>SUMIF(Comp!$A$75:$A$400,Areas!A284,Comp!$G$75:$G$400)</f>
        <v>0</v>
      </c>
      <c r="AH284" s="155"/>
      <c r="AI284" s="155"/>
      <c r="AK284" s="147"/>
    </row>
    <row r="285" spans="1:37" s="141" customFormat="1">
      <c r="A285" s="144">
        <v>2.3321000000000001</v>
      </c>
      <c r="B285" s="141" t="str">
        <f>Comp!B255</f>
        <v>BATTLE DRESSING STATION (FWD)</v>
      </c>
      <c r="C285" s="145">
        <f t="shared" ref="C285:F286" si="90">S285</f>
        <v>0</v>
      </c>
      <c r="D285" s="145">
        <f t="shared" si="90"/>
        <v>0</v>
      </c>
      <c r="E285" s="145">
        <f t="shared" si="90"/>
        <v>0</v>
      </c>
      <c r="F285" s="145">
        <f t="shared" si="90"/>
        <v>0</v>
      </c>
      <c r="G285" s="412"/>
      <c r="H285" s="412"/>
      <c r="I285" s="412"/>
      <c r="J285" s="412"/>
      <c r="K285" s="412"/>
      <c r="L285" s="412"/>
      <c r="M285" s="412"/>
      <c r="N285" s="412"/>
      <c r="O285" s="412"/>
      <c r="P285" s="145">
        <f t="shared" si="75"/>
        <v>7</v>
      </c>
      <c r="Q285" s="145">
        <f t="shared" si="75"/>
        <v>7</v>
      </c>
      <c r="S285" s="156">
        <f>SUMIF('Flt III'!D:D,A285,'Flt III'!E:E)/3.2808^2</f>
        <v>0</v>
      </c>
      <c r="T285" s="156">
        <f>SUMIF('Flt IIa'!A:A,A285,'Flt IIa'!E:E)/3.2808^2</f>
        <v>0</v>
      </c>
      <c r="U285" s="156">
        <f>SUMIF('OPC Des'!A:A,A285,'OPC Des'!F:F)/3.2808^2</f>
        <v>0</v>
      </c>
      <c r="V285" s="156">
        <f>SUMIF('LCS 5'!A:A,A285,'LCS 5'!E:E)</f>
        <v>0</v>
      </c>
      <c r="W285" s="156">
        <f>SUMIF('USCG Summary'!$A$25:$A$50,A285,'USCG Summary'!$D$25:$D$50)/3.2808^2</f>
        <v>0</v>
      </c>
      <c r="X285" s="156">
        <f>SUMIF('USCG Summary'!$A$25:$A$50,A285,'USCG Summary'!$I$25:$I$50)/3.2808^2</f>
        <v>0</v>
      </c>
      <c r="Y285" s="156">
        <f>SUMIF('USCG Summary'!$A$25:$A$50,A285,'USCG Summary'!$L$25:$L$50)/3.2808^2</f>
        <v>0</v>
      </c>
      <c r="Z285" s="156">
        <f>SUMIF('USCG Summary'!$A$25:$A$50,A285,'USCG Summary'!$O$25:$O$50)/3.2808^2</f>
        <v>0</v>
      </c>
      <c r="AA285" s="156">
        <f>SUMIF('USCG Summary'!$A$25:$A$50,A285,'USCG Summary'!$P$25:$P$50)/3.2808^2</f>
        <v>0</v>
      </c>
      <c r="AB285" s="156">
        <f>SUMIF('USCG Summary'!$A$25:$A$50,A285,'USCG Summary'!$Q$25:$Q$50)/3.2808^2</f>
        <v>0</v>
      </c>
      <c r="AC285" s="156">
        <f>SUMIF('USCG Summary'!$A$25:$A$50,A285,'USCG Summary'!$T$25:$T$50)/3.2808^2</f>
        <v>0</v>
      </c>
      <c r="AD285" s="156">
        <f>SUMIF('USCG Summary'!$A$25:$A$50,A285,'USCG Summary'!$W$25:$W$50)/3.2808^2</f>
        <v>0</v>
      </c>
      <c r="AE285" s="156">
        <f>SUMIF('USCG Summary'!$A$25:$A$50,A285,'USCG Summary'!$Z$25:$Z$50)/3.2808^2</f>
        <v>0</v>
      </c>
      <c r="AF285" s="156">
        <f>SUMIF(Comp!$A$75:$A$400,Areas!A285,Comp!$F$75:$F$400)</f>
        <v>7</v>
      </c>
      <c r="AG285" s="156">
        <f>SUMIF(Comp!$A$75:$A$400,Areas!A285,Comp!$G$75:$G$400)</f>
        <v>7</v>
      </c>
      <c r="AH285" s="156"/>
      <c r="AI285" s="156"/>
      <c r="AK285" s="145"/>
    </row>
    <row r="286" spans="1:37" s="141" customFormat="1">
      <c r="A286" s="144">
        <v>2.3323</v>
      </c>
      <c r="B286" s="141" t="str">
        <f>Comp!B256</f>
        <v>BATTLE DRESSING STATION (AFT)</v>
      </c>
      <c r="C286" s="145">
        <f t="shared" si="90"/>
        <v>0</v>
      </c>
      <c r="D286" s="145">
        <f t="shared" si="90"/>
        <v>0</v>
      </c>
      <c r="E286" s="145">
        <f t="shared" si="90"/>
        <v>0</v>
      </c>
      <c r="F286" s="145">
        <f t="shared" si="90"/>
        <v>0</v>
      </c>
      <c r="G286" s="412"/>
      <c r="H286" s="412"/>
      <c r="I286" s="412"/>
      <c r="J286" s="412"/>
      <c r="K286" s="412"/>
      <c r="L286" s="412"/>
      <c r="M286" s="412"/>
      <c r="N286" s="412"/>
      <c r="O286" s="412"/>
      <c r="P286" s="145">
        <f t="shared" si="75"/>
        <v>7</v>
      </c>
      <c r="Q286" s="145">
        <f t="shared" si="75"/>
        <v>7</v>
      </c>
      <c r="S286" s="156">
        <f>SUMIF('Flt III'!D:D,A286,'Flt III'!E:E)/3.2808^2</f>
        <v>0</v>
      </c>
      <c r="T286" s="156">
        <f>SUMIF('Flt IIa'!A:A,A286,'Flt IIa'!E:E)/3.2808^2</f>
        <v>0</v>
      </c>
      <c r="U286" s="156">
        <f>SUMIF('OPC Des'!A:A,A286,'OPC Des'!F:F)/3.2808^2</f>
        <v>0</v>
      </c>
      <c r="V286" s="156">
        <f>SUMIF('LCS 5'!A:A,A286,'LCS 5'!E:E)</f>
        <v>0</v>
      </c>
      <c r="W286" s="156">
        <f>SUMIF('USCG Summary'!$A$25:$A$50,A286,'USCG Summary'!$D$25:$D$50)/3.2808^2</f>
        <v>0</v>
      </c>
      <c r="X286" s="156">
        <f>SUMIF('USCG Summary'!$A$25:$A$50,A286,'USCG Summary'!$I$25:$I$50)/3.2808^2</f>
        <v>0</v>
      </c>
      <c r="Y286" s="156">
        <f>SUMIF('USCG Summary'!$A$25:$A$50,A286,'USCG Summary'!$L$25:$L$50)/3.2808^2</f>
        <v>0</v>
      </c>
      <c r="Z286" s="156">
        <f>SUMIF('USCG Summary'!$A$25:$A$50,A286,'USCG Summary'!$O$25:$O$50)/3.2808^2</f>
        <v>0</v>
      </c>
      <c r="AA286" s="156">
        <f>SUMIF('USCG Summary'!$A$25:$A$50,A286,'USCG Summary'!$P$25:$P$50)/3.2808^2</f>
        <v>0</v>
      </c>
      <c r="AB286" s="156">
        <f>SUMIF('USCG Summary'!$A$25:$A$50,A286,'USCG Summary'!$Q$25:$Q$50)/3.2808^2</f>
        <v>0</v>
      </c>
      <c r="AC286" s="156">
        <f>SUMIF('USCG Summary'!$A$25:$A$50,A286,'USCG Summary'!$T$25:$T$50)/3.2808^2</f>
        <v>0</v>
      </c>
      <c r="AD286" s="156">
        <f>SUMIF('USCG Summary'!$A$25:$A$50,A286,'USCG Summary'!$W$25:$W$50)/3.2808^2</f>
        <v>0</v>
      </c>
      <c r="AE286" s="156">
        <f>SUMIF('USCG Summary'!$A$25:$A$50,A286,'USCG Summary'!$Z$25:$Z$50)/3.2808^2</f>
        <v>0</v>
      </c>
      <c r="AF286" s="156">
        <f>SUMIF(Comp!$A$75:$A$400,Areas!A286,Comp!$F$75:$F$400)</f>
        <v>7</v>
      </c>
      <c r="AG286" s="156">
        <f>SUMIF(Comp!$A$75:$A$400,Areas!A286,Comp!$G$75:$G$400)</f>
        <v>7</v>
      </c>
      <c r="AH286" s="156"/>
      <c r="AI286" s="156"/>
      <c r="AK286" s="145"/>
    </row>
    <row r="287" spans="1:37" s="134" customFormat="1">
      <c r="A287" s="140">
        <v>2.34</v>
      </c>
      <c r="B287" s="134" t="str">
        <f>Comp!B257</f>
        <v>MEDICAL &amp; DENTAL STOWAGE</v>
      </c>
      <c r="C287" s="149">
        <f>C288+C292</f>
        <v>6.7820868593495813</v>
      </c>
      <c r="D287" s="149">
        <f>D288+D292</f>
        <v>5.7601285654749868</v>
      </c>
      <c r="E287" s="149">
        <f>E288+E292</f>
        <v>1.4864847910903192</v>
      </c>
      <c r="F287" s="149">
        <f>F288+F292</f>
        <v>0</v>
      </c>
      <c r="G287" s="409"/>
      <c r="H287" s="409"/>
      <c r="I287" s="409"/>
      <c r="J287" s="409"/>
      <c r="K287" s="409"/>
      <c r="L287" s="409"/>
      <c r="M287" s="409"/>
      <c r="N287" s="409"/>
      <c r="O287" s="409"/>
      <c r="P287" s="149">
        <f t="shared" si="75"/>
        <v>16.5</v>
      </c>
      <c r="Q287" s="149">
        <f t="shared" si="75"/>
        <v>16.5</v>
      </c>
      <c r="S287" s="153">
        <f>SUMIF('Flt III'!D:D,A287,'Flt III'!E:E)/3.2808^2</f>
        <v>0</v>
      </c>
      <c r="T287" s="153">
        <f>SUMIF('Flt IIa'!A:A,A287,'Flt IIa'!E:E)/3.2808^2</f>
        <v>0</v>
      </c>
      <c r="U287" s="153">
        <f>SUMIF('OPC Des'!A:A,A287,'OPC Des'!F:F)/3.2808^2</f>
        <v>0</v>
      </c>
      <c r="V287" s="153">
        <f>SUMIF('LCS 5'!A:A,A287,'LCS 5'!E:E)</f>
        <v>0</v>
      </c>
      <c r="W287" s="153">
        <f>SUMIF('USCG Summary'!$A$25:$A$50,A287,'USCG Summary'!$D$25:$D$50)/3.2808^2</f>
        <v>0</v>
      </c>
      <c r="X287" s="153">
        <f>SUMIF('USCG Summary'!$A$25:$A$50,A287,'USCG Summary'!$I$25:$I$50)/3.2808^2</f>
        <v>0</v>
      </c>
      <c r="Y287" s="153">
        <f>SUMIF('USCG Summary'!$A$25:$A$50,A287,'USCG Summary'!$L$25:$L$50)/3.2808^2</f>
        <v>0</v>
      </c>
      <c r="Z287" s="153">
        <f>SUMIF('USCG Summary'!$A$25:$A$50,A287,'USCG Summary'!$O$25:$O$50)/3.2808^2</f>
        <v>0</v>
      </c>
      <c r="AA287" s="153">
        <f>SUMIF('USCG Summary'!$A$25:$A$50,A287,'USCG Summary'!$P$25:$P$50)/3.2808^2</f>
        <v>0</v>
      </c>
      <c r="AB287" s="153">
        <f>SUMIF('USCG Summary'!$A$25:$A$50,A287,'USCG Summary'!$Q$25:$Q$50)/3.2808^2</f>
        <v>0</v>
      </c>
      <c r="AC287" s="153">
        <f>SUMIF('USCG Summary'!$A$25:$A$50,A287,'USCG Summary'!$T$25:$T$50)/3.2808^2</f>
        <v>0</v>
      </c>
      <c r="AD287" s="153">
        <f>SUMIF('USCG Summary'!$A$25:$A$50,A287,'USCG Summary'!$W$25:$W$50)/3.2808^2</f>
        <v>0</v>
      </c>
      <c r="AE287" s="153">
        <f>SUMIF('USCG Summary'!$A$25:$A$50,A287,'USCG Summary'!$Z$25:$Z$50)/3.2808^2</f>
        <v>0</v>
      </c>
      <c r="AF287" s="153">
        <f>SUMIF(Comp!$A$75:$A$400,Areas!A287,Comp!$F$75:$F$400)</f>
        <v>16.5</v>
      </c>
      <c r="AG287" s="153">
        <f>SUMIF(Comp!$A$75:$A$400,Areas!A287,Comp!$G$75:$G$400)</f>
        <v>16.5</v>
      </c>
      <c r="AH287" s="153"/>
      <c r="AI287" s="153"/>
      <c r="AK287" s="133"/>
    </row>
    <row r="288" spans="1:37" s="132" customFormat="1">
      <c r="A288" s="142">
        <v>2.3410000000000002</v>
      </c>
      <c r="B288" s="132" t="str">
        <f>Comp!B258</f>
        <v>MEDICAL</v>
      </c>
      <c r="C288" s="143">
        <f>SUM(C289)</f>
        <v>6.7820868593495813</v>
      </c>
      <c r="D288" s="143">
        <f>T288</f>
        <v>5.7601285654749868</v>
      </c>
      <c r="E288" s="143">
        <f>SUM(E289)</f>
        <v>1.4864847910903192</v>
      </c>
      <c r="F288" s="143">
        <f>SUM(F289)</f>
        <v>0</v>
      </c>
      <c r="G288" s="410"/>
      <c r="H288" s="410"/>
      <c r="I288" s="410"/>
      <c r="J288" s="410"/>
      <c r="K288" s="410"/>
      <c r="L288" s="410"/>
      <c r="M288" s="410"/>
      <c r="N288" s="410"/>
      <c r="O288" s="410"/>
      <c r="P288" s="143">
        <f t="shared" si="75"/>
        <v>16.5</v>
      </c>
      <c r="Q288" s="143">
        <f t="shared" si="75"/>
        <v>16.5</v>
      </c>
      <c r="S288" s="154">
        <f>SUMIF('Flt III'!D:D,A288,'Flt III'!E:E)/3.2808^2</f>
        <v>0</v>
      </c>
      <c r="T288" s="154">
        <f>SUMIF('Flt IIa'!A:A,A288,'Flt IIa'!E:E)/3.2808^2</f>
        <v>5.7601285654749868</v>
      </c>
      <c r="U288" s="154">
        <f>SUMIF('OPC Des'!A:A,A288,'OPC Des'!F:F)/3.2808^2</f>
        <v>0</v>
      </c>
      <c r="V288" s="154">
        <f>SUMIF('LCS 5'!A:A,A288,'LCS 5'!E:E)</f>
        <v>0</v>
      </c>
      <c r="W288" s="154">
        <f>SUMIF('USCG Summary'!$A$25:$A$50,A288,'USCG Summary'!$D$25:$D$50)/3.2808^2</f>
        <v>0</v>
      </c>
      <c r="X288" s="154">
        <f>SUMIF('USCG Summary'!$A$25:$A$50,A288,'USCG Summary'!$I$25:$I$50)/3.2808^2</f>
        <v>0</v>
      </c>
      <c r="Y288" s="154">
        <f>SUMIF('USCG Summary'!$A$25:$A$50,A288,'USCG Summary'!$L$25:$L$50)/3.2808^2</f>
        <v>0</v>
      </c>
      <c r="Z288" s="154">
        <f>SUMIF('USCG Summary'!$A$25:$A$50,A288,'USCG Summary'!$O$25:$O$50)/3.2808^2</f>
        <v>0</v>
      </c>
      <c r="AA288" s="154">
        <f>SUMIF('USCG Summary'!$A$25:$A$50,A288,'USCG Summary'!$P$25:$P$50)/3.2808^2</f>
        <v>0</v>
      </c>
      <c r="AB288" s="154">
        <f>SUMIF('USCG Summary'!$A$25:$A$50,A288,'USCG Summary'!$Q$25:$Q$50)/3.2808^2</f>
        <v>0</v>
      </c>
      <c r="AC288" s="154">
        <f>SUMIF('USCG Summary'!$A$25:$A$50,A288,'USCG Summary'!$T$25:$T$50)/3.2808^2</f>
        <v>0</v>
      </c>
      <c r="AD288" s="154">
        <f>SUMIF('USCG Summary'!$A$25:$A$50,A288,'USCG Summary'!$W$25:$W$50)/3.2808^2</f>
        <v>0</v>
      </c>
      <c r="AE288" s="154">
        <f>SUMIF('USCG Summary'!$A$25:$A$50,A288,'USCG Summary'!$Z$25:$Z$50)/3.2808^2</f>
        <v>0</v>
      </c>
      <c r="AF288" s="154">
        <f>SUMIF(Comp!$A$75:$A$400,Areas!A288,Comp!$F$75:$F$400)</f>
        <v>16.5</v>
      </c>
      <c r="AG288" s="154">
        <f>SUMIF(Comp!$A$75:$A$400,Areas!A288,Comp!$G$75:$G$400)</f>
        <v>16.5</v>
      </c>
      <c r="AH288" s="154"/>
      <c r="AI288" s="154"/>
      <c r="AK288" s="143"/>
    </row>
    <row r="289" spans="1:37" s="148" customFormat="1">
      <c r="A289" s="146" t="s">
        <v>1054</v>
      </c>
      <c r="C289" s="147">
        <f t="shared" ref="C289:F289" si="91">S289</f>
        <v>6.7820868593495813</v>
      </c>
      <c r="D289" s="147">
        <f t="shared" si="91"/>
        <v>0</v>
      </c>
      <c r="E289" s="147">
        <f t="shared" si="91"/>
        <v>1.4864847910903192</v>
      </c>
      <c r="F289" s="147">
        <f t="shared" si="91"/>
        <v>0</v>
      </c>
      <c r="G289" s="411"/>
      <c r="H289" s="411"/>
      <c r="I289" s="411"/>
      <c r="J289" s="411"/>
      <c r="K289" s="411"/>
      <c r="L289" s="411"/>
      <c r="M289" s="411"/>
      <c r="N289" s="411"/>
      <c r="O289" s="411"/>
      <c r="P289" s="147">
        <f t="shared" si="75"/>
        <v>0</v>
      </c>
      <c r="Q289" s="147">
        <f t="shared" si="75"/>
        <v>0</v>
      </c>
      <c r="S289" s="155">
        <f>SUMIF('Flt III'!D:D,A289,'Flt III'!E:E)/3.2808^2</f>
        <v>6.7820868593495813</v>
      </c>
      <c r="T289" s="155">
        <f>SUMIF('Flt IIa'!A:A,A289,'Flt IIa'!E:E)/3.2808^2</f>
        <v>0</v>
      </c>
      <c r="U289" s="155">
        <f>SUMIF('OPC Des'!A:A,A289,'OPC Des'!F:F)/3.2808^2</f>
        <v>1.4864847910903192</v>
      </c>
      <c r="V289" s="155">
        <f>SUMIF('LCS 5'!A:A,A289,'LCS 5'!E:E)</f>
        <v>0</v>
      </c>
      <c r="W289" s="155">
        <f>SUMIF('USCG Summary'!$A$25:$A$50,A289,'USCG Summary'!$D$25:$D$50)/3.2808^2</f>
        <v>0</v>
      </c>
      <c r="X289" s="155">
        <f>SUMIF('USCG Summary'!$A$25:$A$50,A289,'USCG Summary'!$I$25:$I$50)/3.2808^2</f>
        <v>0</v>
      </c>
      <c r="Y289" s="155">
        <f>SUMIF('USCG Summary'!$A$25:$A$50,A289,'USCG Summary'!$L$25:$L$50)/3.2808^2</f>
        <v>0</v>
      </c>
      <c r="Z289" s="155">
        <f>SUMIF('USCG Summary'!$A$25:$A$50,A289,'USCG Summary'!$O$25:$O$50)/3.2808^2</f>
        <v>0</v>
      </c>
      <c r="AA289" s="155">
        <f>SUMIF('USCG Summary'!$A$25:$A$50,A289,'USCG Summary'!$P$25:$P$50)/3.2808^2</f>
        <v>0</v>
      </c>
      <c r="AB289" s="155">
        <f>SUMIF('USCG Summary'!$A$25:$A$50,A289,'USCG Summary'!$Q$25:$Q$50)/3.2808^2</f>
        <v>0</v>
      </c>
      <c r="AC289" s="155">
        <f>SUMIF('USCG Summary'!$A$25:$A$50,A289,'USCG Summary'!$T$25:$T$50)/3.2808^2</f>
        <v>0</v>
      </c>
      <c r="AD289" s="155">
        <f>SUMIF('USCG Summary'!$A$25:$A$50,A289,'USCG Summary'!$W$25:$W$50)/3.2808^2</f>
        <v>0</v>
      </c>
      <c r="AE289" s="155">
        <f>SUMIF('USCG Summary'!$A$25:$A$50,A289,'USCG Summary'!$Z$25:$Z$50)/3.2808^2</f>
        <v>0</v>
      </c>
      <c r="AF289" s="155">
        <f>SUMIF(Comp!$A$75:$A$400,Areas!A289,Comp!$F$75:$F$400)</f>
        <v>0</v>
      </c>
      <c r="AG289" s="155">
        <f>SUMIF(Comp!$A$75:$A$400,Areas!A289,Comp!$G$75:$G$400)</f>
        <v>0</v>
      </c>
      <c r="AH289" s="155"/>
      <c r="AI289" s="155"/>
      <c r="AK289" s="147"/>
    </row>
    <row r="290" spans="1:37" s="141" customFormat="1">
      <c r="A290" s="144">
        <v>2.3411</v>
      </c>
      <c r="B290" s="141" t="str">
        <f>Comp!B259</f>
        <v>MEDICAL STOREROOM</v>
      </c>
      <c r="C290" s="145">
        <f t="shared" ref="C290:F292" si="92">S290</f>
        <v>0</v>
      </c>
      <c r="D290" s="145">
        <f t="shared" si="92"/>
        <v>0</v>
      </c>
      <c r="E290" s="145">
        <f t="shared" si="92"/>
        <v>0</v>
      </c>
      <c r="F290" s="145">
        <f t="shared" si="92"/>
        <v>0</v>
      </c>
      <c r="G290" s="412"/>
      <c r="H290" s="412"/>
      <c r="I290" s="412"/>
      <c r="J290" s="412"/>
      <c r="K290" s="412"/>
      <c r="L290" s="412"/>
      <c r="M290" s="412"/>
      <c r="N290" s="412"/>
      <c r="O290" s="412"/>
      <c r="P290" s="145">
        <f t="shared" si="75"/>
        <v>5.4</v>
      </c>
      <c r="Q290" s="145">
        <f t="shared" si="75"/>
        <v>5.4</v>
      </c>
      <c r="S290" s="156">
        <f>SUMIF('Flt III'!D:D,A290,'Flt III'!E:E)/3.2808^2</f>
        <v>0</v>
      </c>
      <c r="T290" s="156">
        <f>SUMIF('Flt IIa'!A:A,A290,'Flt IIa'!E:E)/3.2808^2</f>
        <v>0</v>
      </c>
      <c r="U290" s="156">
        <f>SUMIF('OPC Des'!A:A,A290,'OPC Des'!F:F)/3.2808^2</f>
        <v>0</v>
      </c>
      <c r="V290" s="156">
        <f>SUMIF('LCS 5'!A:A,A290,'LCS 5'!E:E)</f>
        <v>0</v>
      </c>
      <c r="W290" s="156">
        <f>SUMIF('USCG Summary'!$A$25:$A$50,A290,'USCG Summary'!$D$25:$D$50)/3.2808^2</f>
        <v>0</v>
      </c>
      <c r="X290" s="156">
        <f>SUMIF('USCG Summary'!$A$25:$A$50,A290,'USCG Summary'!$I$25:$I$50)/3.2808^2</f>
        <v>0</v>
      </c>
      <c r="Y290" s="156">
        <f>SUMIF('USCG Summary'!$A$25:$A$50,A290,'USCG Summary'!$L$25:$L$50)/3.2808^2</f>
        <v>0</v>
      </c>
      <c r="Z290" s="156">
        <f>SUMIF('USCG Summary'!$A$25:$A$50,A290,'USCG Summary'!$O$25:$O$50)/3.2808^2</f>
        <v>0</v>
      </c>
      <c r="AA290" s="156">
        <f>SUMIF('USCG Summary'!$A$25:$A$50,A290,'USCG Summary'!$P$25:$P$50)/3.2808^2</f>
        <v>0</v>
      </c>
      <c r="AB290" s="156">
        <f>SUMIF('USCG Summary'!$A$25:$A$50,A290,'USCG Summary'!$Q$25:$Q$50)/3.2808^2</f>
        <v>0</v>
      </c>
      <c r="AC290" s="156">
        <f>SUMIF('USCG Summary'!$A$25:$A$50,A290,'USCG Summary'!$T$25:$T$50)/3.2808^2</f>
        <v>0</v>
      </c>
      <c r="AD290" s="156">
        <f>SUMIF('USCG Summary'!$A$25:$A$50,A290,'USCG Summary'!$W$25:$W$50)/3.2808^2</f>
        <v>0</v>
      </c>
      <c r="AE290" s="156">
        <f>SUMIF('USCG Summary'!$A$25:$A$50,A290,'USCG Summary'!$Z$25:$Z$50)/3.2808^2</f>
        <v>0</v>
      </c>
      <c r="AF290" s="156">
        <f>SUMIF(Comp!$A$75:$A$400,Areas!A290,Comp!$F$75:$F$400)</f>
        <v>5.4</v>
      </c>
      <c r="AG290" s="156">
        <f>SUMIF(Comp!$A$75:$A$400,Areas!A290,Comp!$G$75:$G$400)</f>
        <v>5.4</v>
      </c>
      <c r="AH290" s="156"/>
      <c r="AI290" s="156"/>
      <c r="AK290" s="145"/>
    </row>
    <row r="291" spans="1:37" s="141" customFormat="1">
      <c r="A291" s="144">
        <v>2.3414000000000001</v>
      </c>
      <c r="B291" s="141" t="str">
        <f>Comp!B260</f>
        <v>BATTLE DRESSING STRM</v>
      </c>
      <c r="C291" s="145">
        <f t="shared" si="92"/>
        <v>0</v>
      </c>
      <c r="D291" s="145">
        <f t="shared" si="92"/>
        <v>0</v>
      </c>
      <c r="E291" s="145">
        <f t="shared" si="92"/>
        <v>0</v>
      </c>
      <c r="F291" s="145">
        <f t="shared" si="92"/>
        <v>0</v>
      </c>
      <c r="G291" s="412"/>
      <c r="H291" s="412"/>
      <c r="I291" s="412"/>
      <c r="J291" s="412"/>
      <c r="K291" s="412"/>
      <c r="L291" s="412"/>
      <c r="M291" s="412"/>
      <c r="N291" s="412"/>
      <c r="O291" s="412"/>
      <c r="P291" s="145">
        <f t="shared" si="75"/>
        <v>11.1</v>
      </c>
      <c r="Q291" s="145">
        <f t="shared" si="75"/>
        <v>11.1</v>
      </c>
      <c r="S291" s="156">
        <f>SUMIF('Flt III'!D:D,A291,'Flt III'!E:E)/3.2808^2</f>
        <v>0</v>
      </c>
      <c r="T291" s="156">
        <f>SUMIF('Flt IIa'!A:A,A291,'Flt IIa'!E:E)/3.2808^2</f>
        <v>0</v>
      </c>
      <c r="U291" s="156">
        <f>SUMIF('OPC Des'!A:A,A291,'OPC Des'!F:F)/3.2808^2</f>
        <v>0</v>
      </c>
      <c r="V291" s="156">
        <f>SUMIF('LCS 5'!A:A,A291,'LCS 5'!E:E)</f>
        <v>0</v>
      </c>
      <c r="W291" s="156">
        <f>SUMIF('USCG Summary'!$A$25:$A$50,A291,'USCG Summary'!$D$25:$D$50)/3.2808^2</f>
        <v>0</v>
      </c>
      <c r="X291" s="156">
        <f>SUMIF('USCG Summary'!$A$25:$A$50,A291,'USCG Summary'!$I$25:$I$50)/3.2808^2</f>
        <v>0</v>
      </c>
      <c r="Y291" s="156">
        <f>SUMIF('USCG Summary'!$A$25:$A$50,A291,'USCG Summary'!$L$25:$L$50)/3.2808^2</f>
        <v>0</v>
      </c>
      <c r="Z291" s="156">
        <f>SUMIF('USCG Summary'!$A$25:$A$50,A291,'USCG Summary'!$O$25:$O$50)/3.2808^2</f>
        <v>0</v>
      </c>
      <c r="AA291" s="156">
        <f>SUMIF('USCG Summary'!$A$25:$A$50,A291,'USCG Summary'!$P$25:$P$50)/3.2808^2</f>
        <v>0</v>
      </c>
      <c r="AB291" s="156">
        <f>SUMIF('USCG Summary'!$A$25:$A$50,A291,'USCG Summary'!$Q$25:$Q$50)/3.2808^2</f>
        <v>0</v>
      </c>
      <c r="AC291" s="156">
        <f>SUMIF('USCG Summary'!$A$25:$A$50,A291,'USCG Summary'!$T$25:$T$50)/3.2808^2</f>
        <v>0</v>
      </c>
      <c r="AD291" s="156">
        <f>SUMIF('USCG Summary'!$A$25:$A$50,A291,'USCG Summary'!$W$25:$W$50)/3.2808^2</f>
        <v>0</v>
      </c>
      <c r="AE291" s="156">
        <f>SUMIF('USCG Summary'!$A$25:$A$50,A291,'USCG Summary'!$Z$25:$Z$50)/3.2808^2</f>
        <v>0</v>
      </c>
      <c r="AF291" s="156">
        <f>SUMIF(Comp!$A$75:$A$400,Areas!A291,Comp!$F$75:$F$400)</f>
        <v>11.1</v>
      </c>
      <c r="AG291" s="156">
        <f>SUMIF(Comp!$A$75:$A$400,Areas!A291,Comp!$G$75:$G$400)</f>
        <v>11.1</v>
      </c>
      <c r="AH291" s="156"/>
      <c r="AI291" s="156"/>
      <c r="AK291" s="145"/>
    </row>
    <row r="292" spans="1:37" s="132" customFormat="1">
      <c r="A292" s="142">
        <v>2.3420000000000001</v>
      </c>
      <c r="B292" s="132" t="str">
        <f>Comp!B261</f>
        <v>DENTAL</v>
      </c>
      <c r="C292" s="143">
        <f t="shared" si="92"/>
        <v>0</v>
      </c>
      <c r="D292" s="143">
        <f t="shared" si="92"/>
        <v>0</v>
      </c>
      <c r="E292" s="143">
        <f t="shared" si="92"/>
        <v>0</v>
      </c>
      <c r="F292" s="143">
        <f t="shared" si="92"/>
        <v>0</v>
      </c>
      <c r="G292" s="410"/>
      <c r="H292" s="410"/>
      <c r="I292" s="410"/>
      <c r="J292" s="410"/>
      <c r="K292" s="410"/>
      <c r="L292" s="410"/>
      <c r="M292" s="410"/>
      <c r="N292" s="410"/>
      <c r="O292" s="410"/>
      <c r="P292" s="143">
        <f t="shared" si="75"/>
        <v>0</v>
      </c>
      <c r="Q292" s="143">
        <f t="shared" si="75"/>
        <v>0</v>
      </c>
      <c r="S292" s="154">
        <f>SUMIF('Flt III'!D:D,A292,'Flt III'!E:E)/3.2808^2</f>
        <v>0</v>
      </c>
      <c r="T292" s="154">
        <f>SUMIF('Flt IIa'!A:A,A292,'Flt IIa'!E:E)/3.2808^2</f>
        <v>0</v>
      </c>
      <c r="U292" s="154">
        <f>SUMIF('OPC Des'!A:A,A292,'OPC Des'!F:F)/3.2808^2</f>
        <v>0</v>
      </c>
      <c r="V292" s="154">
        <f>SUMIF('LCS 5'!A:A,A292,'LCS 5'!E:E)</f>
        <v>0</v>
      </c>
      <c r="W292" s="154">
        <f>SUMIF('USCG Summary'!$A$25:$A$50,A292,'USCG Summary'!$D$25:$D$50)/3.2808^2</f>
        <v>0</v>
      </c>
      <c r="X292" s="154">
        <f>SUMIF('USCG Summary'!$A$25:$A$50,A292,'USCG Summary'!$I$25:$I$50)/3.2808^2</f>
        <v>0</v>
      </c>
      <c r="Y292" s="154">
        <f>SUMIF('USCG Summary'!$A$25:$A$50,A292,'USCG Summary'!$L$25:$L$50)/3.2808^2</f>
        <v>0</v>
      </c>
      <c r="Z292" s="154">
        <f>SUMIF('USCG Summary'!$A$25:$A$50,A292,'USCG Summary'!$O$25:$O$50)/3.2808^2</f>
        <v>0</v>
      </c>
      <c r="AA292" s="154">
        <f>SUMIF('USCG Summary'!$A$25:$A$50,A292,'USCG Summary'!$P$25:$P$50)/3.2808^2</f>
        <v>0</v>
      </c>
      <c r="AB292" s="154">
        <f>SUMIF('USCG Summary'!$A$25:$A$50,A292,'USCG Summary'!$Q$25:$Q$50)/3.2808^2</f>
        <v>0</v>
      </c>
      <c r="AC292" s="154">
        <f>SUMIF('USCG Summary'!$A$25:$A$50,A292,'USCG Summary'!$T$25:$T$50)/3.2808^2</f>
        <v>0</v>
      </c>
      <c r="AD292" s="154">
        <f>SUMIF('USCG Summary'!$A$25:$A$50,A292,'USCG Summary'!$W$25:$W$50)/3.2808^2</f>
        <v>0</v>
      </c>
      <c r="AE292" s="154">
        <f>SUMIF('USCG Summary'!$A$25:$A$50,A292,'USCG Summary'!$Z$25:$Z$50)/3.2808^2</f>
        <v>0</v>
      </c>
      <c r="AF292" s="154">
        <f>SUMIF(Comp!$A$75:$A$400,Areas!A292,Comp!$F$75:$F$400)</f>
        <v>0</v>
      </c>
      <c r="AG292" s="154">
        <f>SUMIF(Comp!$A$75:$A$400,Areas!A292,Comp!$G$75:$G$400)</f>
        <v>0</v>
      </c>
      <c r="AH292" s="154"/>
      <c r="AI292" s="154"/>
      <c r="AK292" s="143"/>
    </row>
    <row r="293" spans="1:37" s="134" customFormat="1">
      <c r="A293" s="140">
        <v>2.35</v>
      </c>
      <c r="B293" s="134" t="str">
        <f>Comp!B262</f>
        <v>MEDICAL &amp; DENTAL ADMIN</v>
      </c>
      <c r="C293" s="149">
        <f>C294</f>
        <v>0</v>
      </c>
      <c r="D293" s="149">
        <f>D294</f>
        <v>0</v>
      </c>
      <c r="E293" s="149">
        <f>E294</f>
        <v>0</v>
      </c>
      <c r="F293" s="149">
        <f>F294</f>
        <v>0</v>
      </c>
      <c r="G293" s="409"/>
      <c r="H293" s="409"/>
      <c r="I293" s="409"/>
      <c r="J293" s="409"/>
      <c r="K293" s="409"/>
      <c r="L293" s="409"/>
      <c r="M293" s="409"/>
      <c r="N293" s="409"/>
      <c r="O293" s="409"/>
      <c r="P293" s="149">
        <f t="shared" si="75"/>
        <v>0</v>
      </c>
      <c r="Q293" s="149">
        <f t="shared" si="75"/>
        <v>0</v>
      </c>
      <c r="S293" s="153">
        <f>SUMIF('Flt III'!D:D,A293,'Flt III'!E:E)/3.2808^2</f>
        <v>0</v>
      </c>
      <c r="T293" s="153">
        <f>SUMIF('Flt IIa'!A:A,A293,'Flt IIa'!E:E)/3.2808^2</f>
        <v>0</v>
      </c>
      <c r="U293" s="153">
        <f>SUMIF('OPC Des'!A:A,A293,'OPC Des'!F:F)/3.2808^2</f>
        <v>0</v>
      </c>
      <c r="V293" s="153">
        <f>SUMIF('LCS 5'!A:A,A293,'LCS 5'!E:E)</f>
        <v>0</v>
      </c>
      <c r="W293" s="153">
        <f>SUMIF('USCG Summary'!$A$25:$A$50,A293,'USCG Summary'!$D$25:$D$50)/3.2808^2</f>
        <v>0</v>
      </c>
      <c r="X293" s="153">
        <f>SUMIF('USCG Summary'!$A$25:$A$50,A293,'USCG Summary'!$I$25:$I$50)/3.2808^2</f>
        <v>0</v>
      </c>
      <c r="Y293" s="153">
        <f>SUMIF('USCG Summary'!$A$25:$A$50,A293,'USCG Summary'!$L$25:$L$50)/3.2808^2</f>
        <v>0</v>
      </c>
      <c r="Z293" s="153">
        <f>SUMIF('USCG Summary'!$A$25:$A$50,A293,'USCG Summary'!$O$25:$O$50)/3.2808^2</f>
        <v>0</v>
      </c>
      <c r="AA293" s="153">
        <f>SUMIF('USCG Summary'!$A$25:$A$50,A293,'USCG Summary'!$P$25:$P$50)/3.2808^2</f>
        <v>0</v>
      </c>
      <c r="AB293" s="153">
        <f>SUMIF('USCG Summary'!$A$25:$A$50,A293,'USCG Summary'!$Q$25:$Q$50)/3.2808^2</f>
        <v>0</v>
      </c>
      <c r="AC293" s="153">
        <f>SUMIF('USCG Summary'!$A$25:$A$50,A293,'USCG Summary'!$T$25:$T$50)/3.2808^2</f>
        <v>0</v>
      </c>
      <c r="AD293" s="153">
        <f>SUMIF('USCG Summary'!$A$25:$A$50,A293,'USCG Summary'!$W$25:$W$50)/3.2808^2</f>
        <v>0</v>
      </c>
      <c r="AE293" s="153">
        <f>SUMIF('USCG Summary'!$A$25:$A$50,A293,'USCG Summary'!$Z$25:$Z$50)/3.2808^2</f>
        <v>0</v>
      </c>
      <c r="AF293" s="153">
        <f>SUMIF(Comp!$A$75:$A$400,Areas!A293,Comp!$F$75:$F$400)</f>
        <v>0</v>
      </c>
      <c r="AG293" s="153">
        <f>SUMIF(Comp!$A$75:$A$400,Areas!A293,Comp!$G$75:$G$400)</f>
        <v>0</v>
      </c>
      <c r="AH293" s="153"/>
      <c r="AI293" s="153"/>
      <c r="AK293" s="133"/>
    </row>
    <row r="294" spans="1:37" s="132" customFormat="1">
      <c r="A294" s="142">
        <v>2.3519999999999999</v>
      </c>
      <c r="B294" s="132" t="str">
        <f>Comp!B263</f>
        <v>DENTAL ADMIN</v>
      </c>
      <c r="C294" s="143">
        <f>S294</f>
        <v>0</v>
      </c>
      <c r="D294" s="143">
        <f>T294</f>
        <v>0</v>
      </c>
      <c r="E294" s="143">
        <f>U294</f>
        <v>0</v>
      </c>
      <c r="F294" s="143">
        <f>V294</f>
        <v>0</v>
      </c>
      <c r="G294" s="410"/>
      <c r="H294" s="410"/>
      <c r="I294" s="410"/>
      <c r="J294" s="410"/>
      <c r="K294" s="410"/>
      <c r="L294" s="410"/>
      <c r="M294" s="410"/>
      <c r="N294" s="410"/>
      <c r="O294" s="410"/>
      <c r="P294" s="143">
        <f t="shared" si="75"/>
        <v>0</v>
      </c>
      <c r="Q294" s="143">
        <f t="shared" si="75"/>
        <v>0</v>
      </c>
      <c r="S294" s="154">
        <f>SUMIF('Flt III'!D:D,A294,'Flt III'!E:E)/3.2808^2</f>
        <v>0</v>
      </c>
      <c r="T294" s="154">
        <f>SUMIF('Flt IIa'!A:A,A294,'Flt IIa'!E:E)/3.2808^2</f>
        <v>0</v>
      </c>
      <c r="U294" s="154">
        <f>SUMIF('OPC Des'!A:A,A294,'OPC Des'!F:F)/3.2808^2</f>
        <v>0</v>
      </c>
      <c r="V294" s="154">
        <f>SUMIF('LCS 5'!A:A,A294,'LCS 5'!E:E)</f>
        <v>0</v>
      </c>
      <c r="W294" s="154">
        <f>SUMIF('USCG Summary'!$A$25:$A$50,A294,'USCG Summary'!$D$25:$D$50)/3.2808^2</f>
        <v>0</v>
      </c>
      <c r="X294" s="154">
        <f>SUMIF('USCG Summary'!$A$25:$A$50,A294,'USCG Summary'!$I$25:$I$50)/3.2808^2</f>
        <v>0</v>
      </c>
      <c r="Y294" s="154">
        <f>SUMIF('USCG Summary'!$A$25:$A$50,A294,'USCG Summary'!$L$25:$L$50)/3.2808^2</f>
        <v>0</v>
      </c>
      <c r="Z294" s="154">
        <f>SUMIF('USCG Summary'!$A$25:$A$50,A294,'USCG Summary'!$O$25:$O$50)/3.2808^2</f>
        <v>0</v>
      </c>
      <c r="AA294" s="154">
        <f>SUMIF('USCG Summary'!$A$25:$A$50,A294,'USCG Summary'!$P$25:$P$50)/3.2808^2</f>
        <v>0</v>
      </c>
      <c r="AB294" s="154">
        <f>SUMIF('USCG Summary'!$A$25:$A$50,A294,'USCG Summary'!$Q$25:$Q$50)/3.2808^2</f>
        <v>0</v>
      </c>
      <c r="AC294" s="154">
        <f>SUMIF('USCG Summary'!$A$25:$A$50,A294,'USCG Summary'!$T$25:$T$50)/3.2808^2</f>
        <v>0</v>
      </c>
      <c r="AD294" s="154">
        <f>SUMIF('USCG Summary'!$A$25:$A$50,A294,'USCG Summary'!$W$25:$W$50)/3.2808^2</f>
        <v>0</v>
      </c>
      <c r="AE294" s="154">
        <f>SUMIF('USCG Summary'!$A$25:$A$50,A294,'USCG Summary'!$Z$25:$Z$50)/3.2808^2</f>
        <v>0</v>
      </c>
      <c r="AF294" s="154">
        <f>SUMIF(Comp!$A$75:$A$400,Areas!A294,Comp!$F$75:$F$400)</f>
        <v>0</v>
      </c>
      <c r="AG294" s="154">
        <f>SUMIF(Comp!$A$75:$A$400,Areas!A294,Comp!$G$75:$G$400)</f>
        <v>0</v>
      </c>
      <c r="AH294" s="154"/>
      <c r="AI294" s="154"/>
      <c r="AK294" s="143"/>
    </row>
    <row r="295" spans="1:37" s="139" customFormat="1">
      <c r="A295" s="137">
        <v>2.4</v>
      </c>
      <c r="B295" s="139" t="str">
        <f>Comp!B264</f>
        <v>GENERAL SERVICES</v>
      </c>
      <c r="C295" s="150">
        <f>C296+C303+C308+C311+C314+C315</f>
        <v>125.97958604490455</v>
      </c>
      <c r="D295" s="150">
        <f>D296+D303+D308+D311+D314+D315</f>
        <v>115.29547660894288</v>
      </c>
      <c r="E295" s="150">
        <f>E296+E303+E308+E311+E314+E315</f>
        <v>27.778684533500339</v>
      </c>
      <c r="F295" s="150">
        <f>F296+F303+F308+F311+F314+F315</f>
        <v>19</v>
      </c>
      <c r="G295" s="406">
        <f>W295</f>
        <v>0</v>
      </c>
      <c r="H295" s="406">
        <f t="shared" ref="H295:O295" si="93">X295</f>
        <v>0</v>
      </c>
      <c r="I295" s="406">
        <f t="shared" si="93"/>
        <v>0</v>
      </c>
      <c r="J295" s="406">
        <f t="shared" si="93"/>
        <v>0</v>
      </c>
      <c r="K295" s="406">
        <f t="shared" si="93"/>
        <v>0</v>
      </c>
      <c r="L295" s="406">
        <f t="shared" si="93"/>
        <v>0</v>
      </c>
      <c r="M295" s="406">
        <f t="shared" si="93"/>
        <v>0</v>
      </c>
      <c r="N295" s="406">
        <f t="shared" si="93"/>
        <v>0</v>
      </c>
      <c r="O295" s="406">
        <f t="shared" si="93"/>
        <v>0</v>
      </c>
      <c r="P295" s="150">
        <f t="shared" si="75"/>
        <v>151.30000000000001</v>
      </c>
      <c r="Q295" s="150">
        <f t="shared" si="75"/>
        <v>151.30000000000001</v>
      </c>
      <c r="S295" s="152">
        <f>SUMIF('Flt III'!D:D,A295,'Flt III'!E:E)/3.2808^2</f>
        <v>0</v>
      </c>
      <c r="T295" s="152">
        <f>SUMIF('Flt IIa'!A:A,A295,'Flt IIa'!E:E)/3.2808^2</f>
        <v>0</v>
      </c>
      <c r="U295" s="152">
        <f>SUMIF('OPC Des'!A:A,A295,'OPC Des'!F:F)/3.2808^2</f>
        <v>0</v>
      </c>
      <c r="V295" s="152">
        <f>SUMIF('LCS 5'!A:A,A295,'LCS 5'!E:E)</f>
        <v>0</v>
      </c>
      <c r="W295" s="152">
        <f>SUMIF('USCG Summary'!$A$25:$A$50,A295,'USCG Summary'!$D$25:$D$50)/3.2808^2</f>
        <v>0</v>
      </c>
      <c r="X295" s="152">
        <f>SUMIF('USCG Summary'!$A$25:$A$50,A295,'USCG Summary'!$I$25:$I$50)/3.2808^2</f>
        <v>0</v>
      </c>
      <c r="Y295" s="152">
        <f>SUMIF('USCG Summary'!$A$25:$A$50,A295,'USCG Summary'!$L$25:$L$50)/3.2808^2</f>
        <v>0</v>
      </c>
      <c r="Z295" s="152">
        <f>SUMIF('USCG Summary'!$A$25:$A$50,A295,'USCG Summary'!$O$25:$O$50)/3.2808^2</f>
        <v>0</v>
      </c>
      <c r="AA295" s="152">
        <f>SUMIF('USCG Summary'!$A$25:$A$50,A295,'USCG Summary'!$P$25:$P$50)/3.2808^2</f>
        <v>0</v>
      </c>
      <c r="AB295" s="152">
        <f>SUMIF('USCG Summary'!$A$25:$A$50,A295,'USCG Summary'!$Q$25:$Q$50)/3.2808^2</f>
        <v>0</v>
      </c>
      <c r="AC295" s="152">
        <f>SUMIF('USCG Summary'!$A$25:$A$50,A295,'USCG Summary'!$T$25:$T$50)/3.2808^2</f>
        <v>0</v>
      </c>
      <c r="AD295" s="152">
        <f>SUMIF('USCG Summary'!$A$25:$A$50,A295,'USCG Summary'!$W$25:$W$50)/3.2808^2</f>
        <v>0</v>
      </c>
      <c r="AE295" s="152">
        <f>SUMIF('USCG Summary'!$A$25:$A$50,A295,'USCG Summary'!$Z$25:$Z$50)/3.2808^2</f>
        <v>0</v>
      </c>
      <c r="AF295" s="152">
        <f>SUMIF(Comp!$A$75:$A$400,Areas!A295,Comp!$F$75:$F$400)</f>
        <v>151.30000000000001</v>
      </c>
      <c r="AG295" s="152">
        <f>SUMIF(Comp!$A$75:$A$400,Areas!A295,Comp!$G$75:$G$400)</f>
        <v>151.30000000000001</v>
      </c>
      <c r="AH295" s="152"/>
      <c r="AI295" s="152"/>
      <c r="AK295" s="138"/>
    </row>
    <row r="296" spans="1:37" s="134" customFormat="1">
      <c r="A296" s="140">
        <v>2.41</v>
      </c>
      <c r="B296" s="134" t="str">
        <f>Comp!B265</f>
        <v>SHIP STORE FACILITIES</v>
      </c>
      <c r="C296" s="149">
        <f>SUM(C297:C299)+C300+C301+C302</f>
        <v>56.950948558647859</v>
      </c>
      <c r="D296" s="149">
        <f>T296</f>
        <v>46.266839122686186</v>
      </c>
      <c r="E296" s="149">
        <f>SUM(E297:E299)+E300+E301+E302</f>
        <v>11.891878328722553</v>
      </c>
      <c r="F296" s="149">
        <f>SUM(F297:F299)+F300+F301+F302</f>
        <v>6.66</v>
      </c>
      <c r="G296" s="409"/>
      <c r="H296" s="409"/>
      <c r="I296" s="409"/>
      <c r="J296" s="409"/>
      <c r="K296" s="409"/>
      <c r="L296" s="409"/>
      <c r="M296" s="409"/>
      <c r="N296" s="409"/>
      <c r="O296" s="409"/>
      <c r="P296" s="149">
        <f t="shared" ref="P296:Q353" si="94">AF296</f>
        <v>55.9</v>
      </c>
      <c r="Q296" s="149">
        <f t="shared" si="94"/>
        <v>55.9</v>
      </c>
      <c r="S296" s="153">
        <f>SUMIF('Flt III'!D:D,A296,'Flt III'!E:E)/3.2808^2</f>
        <v>0</v>
      </c>
      <c r="T296" s="153">
        <f>SUMIF('Flt IIa'!A:A,A296,'Flt IIa'!E:E)/3.2808^2</f>
        <v>46.266839122686186</v>
      </c>
      <c r="U296" s="153">
        <f>SUMIF('OPC Des'!A:A,A296,'OPC Des'!F:F)/3.2808^2</f>
        <v>0</v>
      </c>
      <c r="V296" s="153">
        <f>SUMIF('LCS 5'!A:A,A296,'LCS 5'!E:E)</f>
        <v>0</v>
      </c>
      <c r="W296" s="153">
        <f>SUMIF('USCG Summary'!$A$25:$A$50,A296,'USCG Summary'!$D$25:$D$50)/3.2808^2</f>
        <v>0</v>
      </c>
      <c r="X296" s="153">
        <f>SUMIF('USCG Summary'!$A$25:$A$50,A296,'USCG Summary'!$I$25:$I$50)/3.2808^2</f>
        <v>0</v>
      </c>
      <c r="Y296" s="153">
        <f>SUMIF('USCG Summary'!$A$25:$A$50,A296,'USCG Summary'!$L$25:$L$50)/3.2808^2</f>
        <v>0</v>
      </c>
      <c r="Z296" s="153">
        <f>SUMIF('USCG Summary'!$A$25:$A$50,A296,'USCG Summary'!$O$25:$O$50)/3.2808^2</f>
        <v>0</v>
      </c>
      <c r="AA296" s="153">
        <f>SUMIF('USCG Summary'!$A$25:$A$50,A296,'USCG Summary'!$P$25:$P$50)/3.2808^2</f>
        <v>0</v>
      </c>
      <c r="AB296" s="153">
        <f>SUMIF('USCG Summary'!$A$25:$A$50,A296,'USCG Summary'!$Q$25:$Q$50)/3.2808^2</f>
        <v>0</v>
      </c>
      <c r="AC296" s="153">
        <f>SUMIF('USCG Summary'!$A$25:$A$50,A296,'USCG Summary'!$T$25:$T$50)/3.2808^2</f>
        <v>0</v>
      </c>
      <c r="AD296" s="153">
        <f>SUMIF('USCG Summary'!$A$25:$A$50,A296,'USCG Summary'!$W$25:$W$50)/3.2808^2</f>
        <v>0</v>
      </c>
      <c r="AE296" s="153">
        <f>SUMIF('USCG Summary'!$A$25:$A$50,A296,'USCG Summary'!$Z$25:$Z$50)/3.2808^2</f>
        <v>0</v>
      </c>
      <c r="AF296" s="153">
        <f>SUMIF(Comp!$A$75:$A$400,Areas!A296,Comp!$F$75:$F$400)</f>
        <v>55.9</v>
      </c>
      <c r="AG296" s="153">
        <f>SUMIF(Comp!$A$75:$A$400,Areas!A296,Comp!$G$75:$G$400)</f>
        <v>55.9</v>
      </c>
      <c r="AH296" s="153"/>
      <c r="AI296" s="153"/>
      <c r="AK296" s="133"/>
    </row>
    <row r="297" spans="1:37" s="148" customFormat="1">
      <c r="A297" s="146">
        <v>2.4100100000000002</v>
      </c>
      <c r="C297" s="147">
        <f t="shared" ref="C297:F299" si="95">S297</f>
        <v>10.68410943596167</v>
      </c>
      <c r="D297" s="147">
        <f t="shared" si="95"/>
        <v>0</v>
      </c>
      <c r="E297" s="147">
        <f t="shared" si="95"/>
        <v>7.0608027576790162</v>
      </c>
      <c r="F297" s="147">
        <f t="shared" si="95"/>
        <v>0</v>
      </c>
      <c r="G297" s="411"/>
      <c r="H297" s="411"/>
      <c r="I297" s="411"/>
      <c r="J297" s="411"/>
      <c r="K297" s="411"/>
      <c r="L297" s="411"/>
      <c r="M297" s="411"/>
      <c r="N297" s="411"/>
      <c r="O297" s="411"/>
      <c r="P297" s="147">
        <f t="shared" si="94"/>
        <v>0</v>
      </c>
      <c r="Q297" s="147">
        <f t="shared" si="94"/>
        <v>0</v>
      </c>
      <c r="S297" s="155">
        <f>SUMIF('Flt III'!D:D,A297,'Flt III'!E:E)/3.2808^2</f>
        <v>10.68410943596167</v>
      </c>
      <c r="T297" s="155">
        <f>SUMIF('Flt IIa'!A:A,A297,'Flt IIa'!E:E)/3.2808^2</f>
        <v>0</v>
      </c>
      <c r="U297" s="155">
        <f>SUMIF('OPC Des'!A:A,A297,'OPC Des'!F:F)/3.2808^2</f>
        <v>7.0608027576790162</v>
      </c>
      <c r="V297" s="155">
        <f>SUMIF('LCS 5'!A:A,A297,'LCS 5'!E:E)</f>
        <v>0</v>
      </c>
      <c r="W297" s="155">
        <f>SUMIF('USCG Summary'!$A$25:$A$50,A297,'USCG Summary'!$D$25:$D$50)/3.2808^2</f>
        <v>0</v>
      </c>
      <c r="X297" s="155">
        <f>SUMIF('USCG Summary'!$A$25:$A$50,A297,'USCG Summary'!$I$25:$I$50)/3.2808^2</f>
        <v>0</v>
      </c>
      <c r="Y297" s="155">
        <f>SUMIF('USCG Summary'!$A$25:$A$50,A297,'USCG Summary'!$L$25:$L$50)/3.2808^2</f>
        <v>0</v>
      </c>
      <c r="Z297" s="155">
        <f>SUMIF('USCG Summary'!$A$25:$A$50,A297,'USCG Summary'!$O$25:$O$50)/3.2808^2</f>
        <v>0</v>
      </c>
      <c r="AA297" s="155">
        <f>SUMIF('USCG Summary'!$A$25:$A$50,A297,'USCG Summary'!$P$25:$P$50)/3.2808^2</f>
        <v>0</v>
      </c>
      <c r="AB297" s="155">
        <f>SUMIF('USCG Summary'!$A$25:$A$50,A297,'USCG Summary'!$Q$25:$Q$50)/3.2808^2</f>
        <v>0</v>
      </c>
      <c r="AC297" s="155">
        <f>SUMIF('USCG Summary'!$A$25:$A$50,A297,'USCG Summary'!$T$25:$T$50)/3.2808^2</f>
        <v>0</v>
      </c>
      <c r="AD297" s="155">
        <f>SUMIF('USCG Summary'!$A$25:$A$50,A297,'USCG Summary'!$W$25:$W$50)/3.2808^2</f>
        <v>0</v>
      </c>
      <c r="AE297" s="155">
        <f>SUMIF('USCG Summary'!$A$25:$A$50,A297,'USCG Summary'!$Z$25:$Z$50)/3.2808^2</f>
        <v>0</v>
      </c>
      <c r="AF297" s="155">
        <f>SUMIF(Comp!$A$75:$A$400,Areas!A297,Comp!$F$75:$F$400)</f>
        <v>0</v>
      </c>
      <c r="AG297" s="155">
        <f>SUMIF(Comp!$A$75:$A$400,Areas!A297,Comp!$G$75:$G$400)</f>
        <v>0</v>
      </c>
      <c r="AH297" s="155"/>
      <c r="AI297" s="155"/>
      <c r="AK297" s="147"/>
    </row>
    <row r="298" spans="1:37" s="148" customFormat="1">
      <c r="A298" s="146" t="s">
        <v>1048</v>
      </c>
      <c r="C298" s="147">
        <f t="shared" si="95"/>
        <v>33.724623697861617</v>
      </c>
      <c r="D298" s="147">
        <f t="shared" si="95"/>
        <v>0</v>
      </c>
      <c r="E298" s="147">
        <f t="shared" si="95"/>
        <v>4.8310755710435371</v>
      </c>
      <c r="F298" s="147">
        <f t="shared" si="95"/>
        <v>6.66</v>
      </c>
      <c r="G298" s="411"/>
      <c r="H298" s="411"/>
      <c r="I298" s="411"/>
      <c r="J298" s="411"/>
      <c r="K298" s="411"/>
      <c r="L298" s="411"/>
      <c r="M298" s="411"/>
      <c r="N298" s="411"/>
      <c r="O298" s="411"/>
      <c r="P298" s="147">
        <f t="shared" si="94"/>
        <v>0</v>
      </c>
      <c r="Q298" s="147">
        <f t="shared" si="94"/>
        <v>0</v>
      </c>
      <c r="S298" s="155">
        <f>SUMIF('Flt III'!D:D,A298,'Flt III'!E:E)/3.2808^2</f>
        <v>33.724623697861617</v>
      </c>
      <c r="T298" s="155">
        <f>SUMIF('Flt IIa'!A:A,A298,'Flt IIa'!E:E)/3.2808^2</f>
        <v>0</v>
      </c>
      <c r="U298" s="155">
        <f>SUMIF('OPC Des'!A:A,A298,'OPC Des'!F:F)/3.2808^2</f>
        <v>4.8310755710435371</v>
      </c>
      <c r="V298" s="155">
        <f>SUMIF('LCS 5'!A:A,A298,'LCS 5'!E:E)</f>
        <v>6.66</v>
      </c>
      <c r="W298" s="155">
        <f>SUMIF('USCG Summary'!$A$25:$A$50,A298,'USCG Summary'!$D$25:$D$50)/3.2808^2</f>
        <v>0</v>
      </c>
      <c r="X298" s="155">
        <f>SUMIF('USCG Summary'!$A$25:$A$50,A298,'USCG Summary'!$I$25:$I$50)/3.2808^2</f>
        <v>0</v>
      </c>
      <c r="Y298" s="155">
        <f>SUMIF('USCG Summary'!$A$25:$A$50,A298,'USCG Summary'!$L$25:$L$50)/3.2808^2</f>
        <v>0</v>
      </c>
      <c r="Z298" s="155">
        <f>SUMIF('USCG Summary'!$A$25:$A$50,A298,'USCG Summary'!$O$25:$O$50)/3.2808^2</f>
        <v>0</v>
      </c>
      <c r="AA298" s="155">
        <f>SUMIF('USCG Summary'!$A$25:$A$50,A298,'USCG Summary'!$P$25:$P$50)/3.2808^2</f>
        <v>0</v>
      </c>
      <c r="AB298" s="155">
        <f>SUMIF('USCG Summary'!$A$25:$A$50,A298,'USCG Summary'!$Q$25:$Q$50)/3.2808^2</f>
        <v>0</v>
      </c>
      <c r="AC298" s="155">
        <f>SUMIF('USCG Summary'!$A$25:$A$50,A298,'USCG Summary'!$T$25:$T$50)/3.2808^2</f>
        <v>0</v>
      </c>
      <c r="AD298" s="155">
        <f>SUMIF('USCG Summary'!$A$25:$A$50,A298,'USCG Summary'!$W$25:$W$50)/3.2808^2</f>
        <v>0</v>
      </c>
      <c r="AE298" s="155">
        <f>SUMIF('USCG Summary'!$A$25:$A$50,A298,'USCG Summary'!$Z$25:$Z$50)/3.2808^2</f>
        <v>0</v>
      </c>
      <c r="AF298" s="155">
        <f>SUMIF(Comp!$A$75:$A$400,Areas!A298,Comp!$F$75:$F$400)</f>
        <v>0</v>
      </c>
      <c r="AG298" s="155">
        <f>SUMIF(Comp!$A$75:$A$400,Areas!A298,Comp!$G$75:$G$400)</f>
        <v>0</v>
      </c>
      <c r="AH298" s="155"/>
      <c r="AI298" s="155"/>
      <c r="AK298" s="147"/>
    </row>
    <row r="299" spans="1:37" s="148" customFormat="1">
      <c r="A299" s="146" t="s">
        <v>1045</v>
      </c>
      <c r="C299" s="147">
        <f t="shared" si="95"/>
        <v>12.542215424824567</v>
      </c>
      <c r="D299" s="147">
        <f t="shared" si="95"/>
        <v>0</v>
      </c>
      <c r="E299" s="147">
        <f t="shared" si="95"/>
        <v>0</v>
      </c>
      <c r="F299" s="147">
        <f t="shared" si="95"/>
        <v>0</v>
      </c>
      <c r="G299" s="411"/>
      <c r="H299" s="411"/>
      <c r="I299" s="411"/>
      <c r="J299" s="411"/>
      <c r="K299" s="411"/>
      <c r="L299" s="411"/>
      <c r="M299" s="411"/>
      <c r="N299" s="411"/>
      <c r="O299" s="411"/>
      <c r="P299" s="147">
        <f t="shared" si="94"/>
        <v>0</v>
      </c>
      <c r="Q299" s="147">
        <f t="shared" si="94"/>
        <v>0</v>
      </c>
      <c r="S299" s="155">
        <f>SUMIF('Flt III'!D:D,A299,'Flt III'!E:E)/3.2808^2</f>
        <v>12.542215424824567</v>
      </c>
      <c r="T299" s="155">
        <f>SUMIF('Flt IIa'!A:A,A299,'Flt IIa'!E:E)/3.2808^2</f>
        <v>0</v>
      </c>
      <c r="U299" s="155">
        <f>SUMIF('OPC Des'!A:A,A299,'OPC Des'!F:F)/3.2808^2</f>
        <v>0</v>
      </c>
      <c r="V299" s="155">
        <f>SUMIF('LCS 5'!A:A,A299,'LCS 5'!E:E)</f>
        <v>0</v>
      </c>
      <c r="W299" s="155">
        <f>SUMIF('USCG Summary'!$A$25:$A$50,A299,'USCG Summary'!$D$25:$D$50)/3.2808^2</f>
        <v>0</v>
      </c>
      <c r="X299" s="155">
        <f>SUMIF('USCG Summary'!$A$25:$A$50,A299,'USCG Summary'!$I$25:$I$50)/3.2808^2</f>
        <v>0</v>
      </c>
      <c r="Y299" s="155">
        <f>SUMIF('USCG Summary'!$A$25:$A$50,A299,'USCG Summary'!$L$25:$L$50)/3.2808^2</f>
        <v>0</v>
      </c>
      <c r="Z299" s="155">
        <f>SUMIF('USCG Summary'!$A$25:$A$50,A299,'USCG Summary'!$O$25:$O$50)/3.2808^2</f>
        <v>0</v>
      </c>
      <c r="AA299" s="155">
        <f>SUMIF('USCG Summary'!$A$25:$A$50,A299,'USCG Summary'!$P$25:$P$50)/3.2808^2</f>
        <v>0</v>
      </c>
      <c r="AB299" s="155">
        <f>SUMIF('USCG Summary'!$A$25:$A$50,A299,'USCG Summary'!$Q$25:$Q$50)/3.2808^2</f>
        <v>0</v>
      </c>
      <c r="AC299" s="155">
        <f>SUMIF('USCG Summary'!$A$25:$A$50,A299,'USCG Summary'!$T$25:$T$50)/3.2808^2</f>
        <v>0</v>
      </c>
      <c r="AD299" s="155">
        <f>SUMIF('USCG Summary'!$A$25:$A$50,A299,'USCG Summary'!$W$25:$W$50)/3.2808^2</f>
        <v>0</v>
      </c>
      <c r="AE299" s="155">
        <f>SUMIF('USCG Summary'!$A$25:$A$50,A299,'USCG Summary'!$Z$25:$Z$50)/3.2808^2</f>
        <v>0</v>
      </c>
      <c r="AF299" s="155">
        <f>SUMIF(Comp!$A$75:$A$400,Areas!A299,Comp!$F$75:$F$400)</f>
        <v>0</v>
      </c>
      <c r="AG299" s="155">
        <f>SUMIF(Comp!$A$75:$A$400,Areas!A299,Comp!$G$75:$G$400)</f>
        <v>0</v>
      </c>
      <c r="AH299" s="155"/>
      <c r="AI299" s="155"/>
      <c r="AK299" s="147"/>
    </row>
    <row r="300" spans="1:37" s="132" customFormat="1">
      <c r="A300" s="142">
        <v>2.411</v>
      </c>
      <c r="B300" s="132" t="str">
        <f>Comp!B266</f>
        <v>SHIP STORE</v>
      </c>
      <c r="C300" s="143">
        <f>S300</f>
        <v>0</v>
      </c>
      <c r="D300" s="143">
        <f>T300</f>
        <v>0</v>
      </c>
      <c r="E300" s="143">
        <f>U300</f>
        <v>0</v>
      </c>
      <c r="F300" s="143">
        <f>V300</f>
        <v>0</v>
      </c>
      <c r="G300" s="410"/>
      <c r="H300" s="410"/>
      <c r="I300" s="410"/>
      <c r="J300" s="410"/>
      <c r="K300" s="410"/>
      <c r="L300" s="410"/>
      <c r="M300" s="410"/>
      <c r="N300" s="410"/>
      <c r="O300" s="410"/>
      <c r="P300" s="143">
        <f t="shared" si="94"/>
        <v>23.2</v>
      </c>
      <c r="Q300" s="143">
        <f t="shared" si="94"/>
        <v>23.2</v>
      </c>
      <c r="S300" s="154">
        <f>SUMIF('Flt III'!D:D,A300,'Flt III'!E:E)/3.2808^2</f>
        <v>0</v>
      </c>
      <c r="T300" s="154">
        <f>SUMIF('Flt IIa'!A:A,A300,'Flt IIa'!E:E)/3.2808^2</f>
        <v>0</v>
      </c>
      <c r="U300" s="154">
        <f>SUMIF('OPC Des'!A:A,A300,'OPC Des'!F:F)/3.2808^2</f>
        <v>0</v>
      </c>
      <c r="V300" s="154">
        <f>SUMIF('LCS 5'!A:A,A300,'LCS 5'!E:E)</f>
        <v>0</v>
      </c>
      <c r="W300" s="154">
        <f>SUMIF('USCG Summary'!$A$25:$A$50,A300,'USCG Summary'!$D$25:$D$50)/3.2808^2</f>
        <v>0</v>
      </c>
      <c r="X300" s="154">
        <f>SUMIF('USCG Summary'!$A$25:$A$50,A300,'USCG Summary'!$I$25:$I$50)/3.2808^2</f>
        <v>0</v>
      </c>
      <c r="Y300" s="154">
        <f>SUMIF('USCG Summary'!$A$25:$A$50,A300,'USCG Summary'!$L$25:$L$50)/3.2808^2</f>
        <v>0</v>
      </c>
      <c r="Z300" s="154">
        <f>SUMIF('USCG Summary'!$A$25:$A$50,A300,'USCG Summary'!$O$25:$O$50)/3.2808^2</f>
        <v>0</v>
      </c>
      <c r="AA300" s="154">
        <f>SUMIF('USCG Summary'!$A$25:$A$50,A300,'USCG Summary'!$P$25:$P$50)/3.2808^2</f>
        <v>0</v>
      </c>
      <c r="AB300" s="154">
        <f>SUMIF('USCG Summary'!$A$25:$A$50,A300,'USCG Summary'!$Q$25:$Q$50)/3.2808^2</f>
        <v>0</v>
      </c>
      <c r="AC300" s="154">
        <f>SUMIF('USCG Summary'!$A$25:$A$50,A300,'USCG Summary'!$T$25:$T$50)/3.2808^2</f>
        <v>0</v>
      </c>
      <c r="AD300" s="154">
        <f>SUMIF('USCG Summary'!$A$25:$A$50,A300,'USCG Summary'!$W$25:$W$50)/3.2808^2</f>
        <v>0</v>
      </c>
      <c r="AE300" s="154">
        <f>SUMIF('USCG Summary'!$A$25:$A$50,A300,'USCG Summary'!$Z$25:$Z$50)/3.2808^2</f>
        <v>0</v>
      </c>
      <c r="AF300" s="154">
        <f>SUMIF(Comp!$A$75:$A$400,Areas!A300,Comp!$F$75:$F$400)</f>
        <v>23.2</v>
      </c>
      <c r="AG300" s="154">
        <f>SUMIF(Comp!$A$75:$A$400,Areas!A300,Comp!$G$75:$G$400)</f>
        <v>23.2</v>
      </c>
      <c r="AH300" s="154"/>
      <c r="AI300" s="154"/>
      <c r="AK300" s="143"/>
    </row>
    <row r="301" spans="1:37" s="132" customFormat="1">
      <c r="A301" s="142">
        <v>2.415</v>
      </c>
      <c r="B301" s="132" t="str">
        <f>Comp!B267</f>
        <v>VENDING MACHINE AREA</v>
      </c>
      <c r="C301" s="143">
        <f t="shared" ref="C301:F302" si="96">S301</f>
        <v>0</v>
      </c>
      <c r="D301" s="143">
        <f t="shared" si="96"/>
        <v>0</v>
      </c>
      <c r="E301" s="143">
        <f t="shared" si="96"/>
        <v>0</v>
      </c>
      <c r="F301" s="143">
        <f t="shared" si="96"/>
        <v>0</v>
      </c>
      <c r="G301" s="410"/>
      <c r="H301" s="410"/>
      <c r="I301" s="410"/>
      <c r="J301" s="410"/>
      <c r="K301" s="410"/>
      <c r="L301" s="410"/>
      <c r="M301" s="410"/>
      <c r="N301" s="410"/>
      <c r="O301" s="410"/>
      <c r="P301" s="143">
        <f t="shared" si="94"/>
        <v>0</v>
      </c>
      <c r="Q301" s="143">
        <f t="shared" si="94"/>
        <v>0</v>
      </c>
      <c r="S301" s="154">
        <f>SUMIF('Flt III'!D:D,A301,'Flt III'!E:E)/3.2808^2</f>
        <v>0</v>
      </c>
      <c r="T301" s="154">
        <f>SUMIF('Flt IIa'!A:A,A301,'Flt IIa'!E:E)/3.2808^2</f>
        <v>0</v>
      </c>
      <c r="U301" s="154">
        <f>SUMIF('OPC Des'!A:A,A301,'OPC Des'!F:F)/3.2808^2</f>
        <v>0</v>
      </c>
      <c r="V301" s="154">
        <f>SUMIF('LCS 5'!A:A,A301,'LCS 5'!E:E)</f>
        <v>0</v>
      </c>
      <c r="W301" s="154">
        <f>SUMIF('USCG Summary'!$A$25:$A$50,A301,'USCG Summary'!$D$25:$D$50)/3.2808^2</f>
        <v>0</v>
      </c>
      <c r="X301" s="154">
        <f>SUMIF('USCG Summary'!$A$25:$A$50,A301,'USCG Summary'!$I$25:$I$50)/3.2808^2</f>
        <v>0</v>
      </c>
      <c r="Y301" s="154">
        <f>SUMIF('USCG Summary'!$A$25:$A$50,A301,'USCG Summary'!$L$25:$L$50)/3.2808^2</f>
        <v>0</v>
      </c>
      <c r="Z301" s="154">
        <f>SUMIF('USCG Summary'!$A$25:$A$50,A301,'USCG Summary'!$O$25:$O$50)/3.2808^2</f>
        <v>0</v>
      </c>
      <c r="AA301" s="154">
        <f>SUMIF('USCG Summary'!$A$25:$A$50,A301,'USCG Summary'!$P$25:$P$50)/3.2808^2</f>
        <v>0</v>
      </c>
      <c r="AB301" s="154">
        <f>SUMIF('USCG Summary'!$A$25:$A$50,A301,'USCG Summary'!$Q$25:$Q$50)/3.2808^2</f>
        <v>0</v>
      </c>
      <c r="AC301" s="154">
        <f>SUMIF('USCG Summary'!$A$25:$A$50,A301,'USCG Summary'!$T$25:$T$50)/3.2808^2</f>
        <v>0</v>
      </c>
      <c r="AD301" s="154">
        <f>SUMIF('USCG Summary'!$A$25:$A$50,A301,'USCG Summary'!$W$25:$W$50)/3.2808^2</f>
        <v>0</v>
      </c>
      <c r="AE301" s="154">
        <f>SUMIF('USCG Summary'!$A$25:$A$50,A301,'USCG Summary'!$Z$25:$Z$50)/3.2808^2</f>
        <v>0</v>
      </c>
      <c r="AF301" s="154">
        <f>SUMIF(Comp!$A$75:$A$400,Areas!A301,Comp!$F$75:$F$400)</f>
        <v>0</v>
      </c>
      <c r="AG301" s="154">
        <f>SUMIF(Comp!$A$75:$A$400,Areas!A301,Comp!$G$75:$G$400)</f>
        <v>0</v>
      </c>
      <c r="AH301" s="154"/>
      <c r="AI301" s="154"/>
      <c r="AK301" s="143"/>
    </row>
    <row r="302" spans="1:37" s="132" customFormat="1">
      <c r="A302" s="142">
        <v>2.4159999999999999</v>
      </c>
      <c r="B302" s="132" t="str">
        <f>Comp!B268</f>
        <v>SHIP STORE STORERM</v>
      </c>
      <c r="C302" s="143">
        <f t="shared" si="96"/>
        <v>0</v>
      </c>
      <c r="D302" s="143">
        <f t="shared" si="96"/>
        <v>0</v>
      </c>
      <c r="E302" s="143">
        <f t="shared" si="96"/>
        <v>0</v>
      </c>
      <c r="F302" s="143">
        <f t="shared" si="96"/>
        <v>0</v>
      </c>
      <c r="G302" s="410"/>
      <c r="H302" s="410"/>
      <c r="I302" s="410"/>
      <c r="J302" s="410"/>
      <c r="K302" s="410"/>
      <c r="L302" s="410"/>
      <c r="M302" s="410"/>
      <c r="N302" s="410"/>
      <c r="O302" s="410"/>
      <c r="P302" s="143">
        <f t="shared" si="94"/>
        <v>32.700000000000003</v>
      </c>
      <c r="Q302" s="143">
        <f t="shared" si="94"/>
        <v>32.700000000000003</v>
      </c>
      <c r="S302" s="154">
        <f>SUMIF('Flt III'!D:D,A302,'Flt III'!E:E)/3.2808^2</f>
        <v>0</v>
      </c>
      <c r="T302" s="154">
        <f>SUMIF('Flt IIa'!A:A,A302,'Flt IIa'!E:E)/3.2808^2</f>
        <v>0</v>
      </c>
      <c r="U302" s="154">
        <f>SUMIF('OPC Des'!A:A,A302,'OPC Des'!F:F)/3.2808^2</f>
        <v>0</v>
      </c>
      <c r="V302" s="154">
        <f>SUMIF('LCS 5'!A:A,A302,'LCS 5'!E:E)</f>
        <v>0</v>
      </c>
      <c r="W302" s="154">
        <f>SUMIF('USCG Summary'!$A$25:$A$50,A302,'USCG Summary'!$D$25:$D$50)/3.2808^2</f>
        <v>0</v>
      </c>
      <c r="X302" s="154">
        <f>SUMIF('USCG Summary'!$A$25:$A$50,A302,'USCG Summary'!$I$25:$I$50)/3.2808^2</f>
        <v>0</v>
      </c>
      <c r="Y302" s="154">
        <f>SUMIF('USCG Summary'!$A$25:$A$50,A302,'USCG Summary'!$L$25:$L$50)/3.2808^2</f>
        <v>0</v>
      </c>
      <c r="Z302" s="154">
        <f>SUMIF('USCG Summary'!$A$25:$A$50,A302,'USCG Summary'!$O$25:$O$50)/3.2808^2</f>
        <v>0</v>
      </c>
      <c r="AA302" s="154">
        <f>SUMIF('USCG Summary'!$A$25:$A$50,A302,'USCG Summary'!$P$25:$P$50)/3.2808^2</f>
        <v>0</v>
      </c>
      <c r="AB302" s="154">
        <f>SUMIF('USCG Summary'!$A$25:$A$50,A302,'USCG Summary'!$Q$25:$Q$50)/3.2808^2</f>
        <v>0</v>
      </c>
      <c r="AC302" s="154">
        <f>SUMIF('USCG Summary'!$A$25:$A$50,A302,'USCG Summary'!$T$25:$T$50)/3.2808^2</f>
        <v>0</v>
      </c>
      <c r="AD302" s="154">
        <f>SUMIF('USCG Summary'!$A$25:$A$50,A302,'USCG Summary'!$W$25:$W$50)/3.2808^2</f>
        <v>0</v>
      </c>
      <c r="AE302" s="154">
        <f>SUMIF('USCG Summary'!$A$25:$A$50,A302,'USCG Summary'!$Z$25:$Z$50)/3.2808^2</f>
        <v>0</v>
      </c>
      <c r="AF302" s="154">
        <f>SUMIF(Comp!$A$75:$A$400,Areas!A302,Comp!$F$75:$F$400)</f>
        <v>32.700000000000003</v>
      </c>
      <c r="AG302" s="154">
        <f>SUMIF(Comp!$A$75:$A$400,Areas!A302,Comp!$G$75:$G$400)</f>
        <v>32.700000000000003</v>
      </c>
      <c r="AH302" s="154"/>
      <c r="AI302" s="154"/>
      <c r="AK302" s="143"/>
    </row>
    <row r="303" spans="1:37" s="134" customFormat="1">
      <c r="A303" s="140">
        <v>2.42</v>
      </c>
      <c r="B303" s="134" t="str">
        <f>Comp!B269</f>
        <v>LAUNDRY FACILITIES</v>
      </c>
      <c r="C303" s="149">
        <f>SUM(C304:C305)+C306+C307</f>
        <v>54.814126671455519</v>
      </c>
      <c r="D303" s="149">
        <f>T303</f>
        <v>54.814126671455519</v>
      </c>
      <c r="E303" s="149">
        <f>SUM(E304:E305)+E306+E307</f>
        <v>15.886806204777786</v>
      </c>
      <c r="F303" s="149">
        <f>SUM(F304:F305)+F306+F307</f>
        <v>12.34</v>
      </c>
      <c r="G303" s="409"/>
      <c r="H303" s="409"/>
      <c r="I303" s="409"/>
      <c r="J303" s="409"/>
      <c r="K303" s="409"/>
      <c r="L303" s="409"/>
      <c r="M303" s="409"/>
      <c r="N303" s="409"/>
      <c r="O303" s="409"/>
      <c r="P303" s="149">
        <f t="shared" si="94"/>
        <v>72.5</v>
      </c>
      <c r="Q303" s="149">
        <f t="shared" si="94"/>
        <v>72.5</v>
      </c>
      <c r="S303" s="153">
        <f>SUMIF('Flt III'!D:D,A303,'Flt III'!E:E)/3.2808^2</f>
        <v>0</v>
      </c>
      <c r="T303" s="153">
        <f>SUMIF('Flt IIa'!A:A,A303,'Flt IIa'!E:E)/3.2808^2</f>
        <v>54.814126671455519</v>
      </c>
      <c r="U303" s="153">
        <f>SUMIF('OPC Des'!A:A,A303,'OPC Des'!F:F)/3.2808^2</f>
        <v>0</v>
      </c>
      <c r="V303" s="153">
        <f>SUMIF('LCS 5'!A:A,A303,'LCS 5'!E:E)</f>
        <v>0</v>
      </c>
      <c r="W303" s="153">
        <f>SUMIF('USCG Summary'!$A$25:$A$50,A303,'USCG Summary'!$D$25:$D$50)/3.2808^2</f>
        <v>0</v>
      </c>
      <c r="X303" s="153">
        <f>SUMIF('USCG Summary'!$A$25:$A$50,A303,'USCG Summary'!$I$25:$I$50)/3.2808^2</f>
        <v>0</v>
      </c>
      <c r="Y303" s="153">
        <f>SUMIF('USCG Summary'!$A$25:$A$50,A303,'USCG Summary'!$L$25:$L$50)/3.2808^2</f>
        <v>0</v>
      </c>
      <c r="Z303" s="153">
        <f>SUMIF('USCG Summary'!$A$25:$A$50,A303,'USCG Summary'!$O$25:$O$50)/3.2808^2</f>
        <v>0</v>
      </c>
      <c r="AA303" s="153">
        <f>SUMIF('USCG Summary'!$A$25:$A$50,A303,'USCG Summary'!$P$25:$P$50)/3.2808^2</f>
        <v>0</v>
      </c>
      <c r="AB303" s="153">
        <f>SUMIF('USCG Summary'!$A$25:$A$50,A303,'USCG Summary'!$Q$25:$Q$50)/3.2808^2</f>
        <v>0</v>
      </c>
      <c r="AC303" s="153">
        <f>SUMIF('USCG Summary'!$A$25:$A$50,A303,'USCG Summary'!$T$25:$T$50)/3.2808^2</f>
        <v>0</v>
      </c>
      <c r="AD303" s="153">
        <f>SUMIF('USCG Summary'!$A$25:$A$50,A303,'USCG Summary'!$W$25:$W$50)/3.2808^2</f>
        <v>0</v>
      </c>
      <c r="AE303" s="153">
        <f>SUMIF('USCG Summary'!$A$25:$A$50,A303,'USCG Summary'!$Z$25:$Z$50)/3.2808^2</f>
        <v>0</v>
      </c>
      <c r="AF303" s="153">
        <f>SUMIF(Comp!$A$75:$A$400,Areas!A303,Comp!$F$75:$F$400)</f>
        <v>72.5</v>
      </c>
      <c r="AG303" s="153">
        <f>SUMIF(Comp!$A$75:$A$400,Areas!A303,Comp!$G$75:$G$400)</f>
        <v>72.5</v>
      </c>
      <c r="AH303" s="153"/>
      <c r="AI303" s="153"/>
      <c r="AK303" s="133"/>
    </row>
    <row r="304" spans="1:37" s="148" customFormat="1">
      <c r="A304" s="146" t="s">
        <v>1042</v>
      </c>
      <c r="C304" s="147">
        <f t="shared" ref="C304:F307" si="97">S304</f>
        <v>48.032039812105936</v>
      </c>
      <c r="D304" s="147">
        <f t="shared" si="97"/>
        <v>0</v>
      </c>
      <c r="E304" s="147">
        <f t="shared" si="97"/>
        <v>15.886806204777786</v>
      </c>
      <c r="F304" s="147">
        <f t="shared" si="97"/>
        <v>12.34</v>
      </c>
      <c r="G304" s="411"/>
      <c r="H304" s="411"/>
      <c r="I304" s="411"/>
      <c r="J304" s="411"/>
      <c r="K304" s="411"/>
      <c r="L304" s="411"/>
      <c r="M304" s="411"/>
      <c r="N304" s="411"/>
      <c r="O304" s="411"/>
      <c r="P304" s="147">
        <f t="shared" si="94"/>
        <v>0</v>
      </c>
      <c r="Q304" s="147">
        <f t="shared" si="94"/>
        <v>0</v>
      </c>
      <c r="S304" s="155">
        <f>SUMIF('Flt III'!D:D,A304,'Flt III'!E:E)/3.2808^2</f>
        <v>48.032039812105936</v>
      </c>
      <c r="T304" s="155">
        <f>SUMIF('Flt IIa'!A:A,A304,'Flt IIa'!E:E)/3.2808^2</f>
        <v>0</v>
      </c>
      <c r="U304" s="155">
        <f>SUMIF('OPC Des'!A:A,A304,'OPC Des'!F:F)/3.2808^2</f>
        <v>15.886806204777786</v>
      </c>
      <c r="V304" s="155">
        <f>SUMIF('LCS 5'!A:A,A304,'LCS 5'!E:E)</f>
        <v>12.34</v>
      </c>
      <c r="W304" s="155">
        <f>SUMIF('USCG Summary'!$A$25:$A$50,A304,'USCG Summary'!$D$25:$D$50)/3.2808^2</f>
        <v>0</v>
      </c>
      <c r="X304" s="155">
        <f>SUMIF('USCG Summary'!$A$25:$A$50,A304,'USCG Summary'!$I$25:$I$50)/3.2808^2</f>
        <v>0</v>
      </c>
      <c r="Y304" s="155">
        <f>SUMIF('USCG Summary'!$A$25:$A$50,A304,'USCG Summary'!$L$25:$L$50)/3.2808^2</f>
        <v>0</v>
      </c>
      <c r="Z304" s="155">
        <f>SUMIF('USCG Summary'!$A$25:$A$50,A304,'USCG Summary'!$O$25:$O$50)/3.2808^2</f>
        <v>0</v>
      </c>
      <c r="AA304" s="155">
        <f>SUMIF('USCG Summary'!$A$25:$A$50,A304,'USCG Summary'!$P$25:$P$50)/3.2808^2</f>
        <v>0</v>
      </c>
      <c r="AB304" s="155">
        <f>SUMIF('USCG Summary'!$A$25:$A$50,A304,'USCG Summary'!$Q$25:$Q$50)/3.2808^2</f>
        <v>0</v>
      </c>
      <c r="AC304" s="155">
        <f>SUMIF('USCG Summary'!$A$25:$A$50,A304,'USCG Summary'!$T$25:$T$50)/3.2808^2</f>
        <v>0</v>
      </c>
      <c r="AD304" s="155">
        <f>SUMIF('USCG Summary'!$A$25:$A$50,A304,'USCG Summary'!$W$25:$W$50)/3.2808^2</f>
        <v>0</v>
      </c>
      <c r="AE304" s="155">
        <f>SUMIF('USCG Summary'!$A$25:$A$50,A304,'USCG Summary'!$Z$25:$Z$50)/3.2808^2</f>
        <v>0</v>
      </c>
      <c r="AF304" s="155">
        <f>SUMIF(Comp!$A$75:$A$400,Areas!A304,Comp!$F$75:$F$400)</f>
        <v>0</v>
      </c>
      <c r="AG304" s="155">
        <f>SUMIF(Comp!$A$75:$A$400,Areas!A304,Comp!$G$75:$G$400)</f>
        <v>0</v>
      </c>
      <c r="AH304" s="155"/>
      <c r="AI304" s="155"/>
      <c r="AK304" s="147"/>
    </row>
    <row r="305" spans="1:37" s="148" customFormat="1">
      <c r="A305" s="146" t="s">
        <v>1039</v>
      </c>
      <c r="C305" s="147">
        <f t="shared" si="97"/>
        <v>6.7820868593495813</v>
      </c>
      <c r="D305" s="147">
        <f t="shared" si="97"/>
        <v>0</v>
      </c>
      <c r="E305" s="147">
        <f t="shared" si="97"/>
        <v>0</v>
      </c>
      <c r="F305" s="147">
        <f t="shared" si="97"/>
        <v>0</v>
      </c>
      <c r="G305" s="411"/>
      <c r="H305" s="411"/>
      <c r="I305" s="411"/>
      <c r="J305" s="411"/>
      <c r="K305" s="411"/>
      <c r="L305" s="411"/>
      <c r="M305" s="411"/>
      <c r="N305" s="411"/>
      <c r="O305" s="411"/>
      <c r="P305" s="147">
        <f t="shared" si="94"/>
        <v>0</v>
      </c>
      <c r="Q305" s="147">
        <f t="shared" si="94"/>
        <v>0</v>
      </c>
      <c r="S305" s="155">
        <f>SUMIF('Flt III'!D:D,A305,'Flt III'!E:E)/3.2808^2</f>
        <v>6.7820868593495813</v>
      </c>
      <c r="T305" s="155">
        <f>SUMIF('Flt IIa'!A:A,A305,'Flt IIa'!E:E)/3.2808^2</f>
        <v>0</v>
      </c>
      <c r="U305" s="155">
        <f>SUMIF('OPC Des'!A:A,A305,'OPC Des'!F:F)/3.2808^2</f>
        <v>0</v>
      </c>
      <c r="V305" s="155">
        <f>SUMIF('LCS 5'!A:A,A305,'LCS 5'!E:E)</f>
        <v>0</v>
      </c>
      <c r="W305" s="155">
        <f>SUMIF('USCG Summary'!$A$25:$A$50,A305,'USCG Summary'!$D$25:$D$50)/3.2808^2</f>
        <v>0</v>
      </c>
      <c r="X305" s="155">
        <f>SUMIF('USCG Summary'!$A$25:$A$50,A305,'USCG Summary'!$I$25:$I$50)/3.2808^2</f>
        <v>0</v>
      </c>
      <c r="Y305" s="155">
        <f>SUMIF('USCG Summary'!$A$25:$A$50,A305,'USCG Summary'!$L$25:$L$50)/3.2808^2</f>
        <v>0</v>
      </c>
      <c r="Z305" s="155">
        <f>SUMIF('USCG Summary'!$A$25:$A$50,A305,'USCG Summary'!$O$25:$O$50)/3.2808^2</f>
        <v>0</v>
      </c>
      <c r="AA305" s="155">
        <f>SUMIF('USCG Summary'!$A$25:$A$50,A305,'USCG Summary'!$P$25:$P$50)/3.2808^2</f>
        <v>0</v>
      </c>
      <c r="AB305" s="155">
        <f>SUMIF('USCG Summary'!$A$25:$A$50,A305,'USCG Summary'!$Q$25:$Q$50)/3.2808^2</f>
        <v>0</v>
      </c>
      <c r="AC305" s="155">
        <f>SUMIF('USCG Summary'!$A$25:$A$50,A305,'USCG Summary'!$T$25:$T$50)/3.2808^2</f>
        <v>0</v>
      </c>
      <c r="AD305" s="155">
        <f>SUMIF('USCG Summary'!$A$25:$A$50,A305,'USCG Summary'!$W$25:$W$50)/3.2808^2</f>
        <v>0</v>
      </c>
      <c r="AE305" s="155">
        <f>SUMIF('USCG Summary'!$A$25:$A$50,A305,'USCG Summary'!$Z$25:$Z$50)/3.2808^2</f>
        <v>0</v>
      </c>
      <c r="AF305" s="155">
        <f>SUMIF(Comp!$A$75:$A$400,Areas!A305,Comp!$F$75:$F$400)</f>
        <v>0</v>
      </c>
      <c r="AG305" s="155">
        <f>SUMIF(Comp!$A$75:$A$400,Areas!A305,Comp!$G$75:$G$400)</f>
        <v>0</v>
      </c>
      <c r="AH305" s="155"/>
      <c r="AI305" s="155"/>
      <c r="AK305" s="147"/>
    </row>
    <row r="306" spans="1:37" s="132" customFormat="1">
      <c r="A306" s="142">
        <v>2.4209999999999998</v>
      </c>
      <c r="B306" s="132" t="str">
        <f>Comp!B270</f>
        <v>LAUNDRY</v>
      </c>
      <c r="C306" s="143">
        <f t="shared" si="97"/>
        <v>0</v>
      </c>
      <c r="D306" s="143">
        <f t="shared" si="97"/>
        <v>0</v>
      </c>
      <c r="E306" s="143">
        <f t="shared" si="97"/>
        <v>0</v>
      </c>
      <c r="F306" s="143">
        <f t="shared" si="97"/>
        <v>0</v>
      </c>
      <c r="G306" s="410"/>
      <c r="H306" s="410"/>
      <c r="I306" s="410"/>
      <c r="J306" s="410"/>
      <c r="K306" s="410"/>
      <c r="L306" s="410"/>
      <c r="M306" s="410"/>
      <c r="N306" s="410"/>
      <c r="O306" s="410"/>
      <c r="P306" s="143">
        <f t="shared" si="94"/>
        <v>72.5</v>
      </c>
      <c r="Q306" s="143">
        <f t="shared" si="94"/>
        <v>72.5</v>
      </c>
      <c r="S306" s="154">
        <f>SUMIF('Flt III'!D:D,A306,'Flt III'!E:E)/3.2808^2</f>
        <v>0</v>
      </c>
      <c r="T306" s="154">
        <f>SUMIF('Flt IIa'!A:A,A306,'Flt IIa'!E:E)/3.2808^2</f>
        <v>0</v>
      </c>
      <c r="U306" s="154">
        <f>SUMIF('OPC Des'!A:A,A306,'OPC Des'!F:F)/3.2808^2</f>
        <v>0</v>
      </c>
      <c r="V306" s="154">
        <f>SUMIF('LCS 5'!A:A,A306,'LCS 5'!E:E)</f>
        <v>0</v>
      </c>
      <c r="W306" s="154">
        <f>SUMIF('USCG Summary'!$A$25:$A$50,A306,'USCG Summary'!$D$25:$D$50)/3.2808^2</f>
        <v>0</v>
      </c>
      <c r="X306" s="154">
        <f>SUMIF('USCG Summary'!$A$25:$A$50,A306,'USCG Summary'!$I$25:$I$50)/3.2808^2</f>
        <v>0</v>
      </c>
      <c r="Y306" s="154">
        <f>SUMIF('USCG Summary'!$A$25:$A$50,A306,'USCG Summary'!$L$25:$L$50)/3.2808^2</f>
        <v>0</v>
      </c>
      <c r="Z306" s="154">
        <f>SUMIF('USCG Summary'!$A$25:$A$50,A306,'USCG Summary'!$O$25:$O$50)/3.2808^2</f>
        <v>0</v>
      </c>
      <c r="AA306" s="154">
        <f>SUMIF('USCG Summary'!$A$25:$A$50,A306,'USCG Summary'!$P$25:$P$50)/3.2808^2</f>
        <v>0</v>
      </c>
      <c r="AB306" s="154">
        <f>SUMIF('USCG Summary'!$A$25:$A$50,A306,'USCG Summary'!$Q$25:$Q$50)/3.2808^2</f>
        <v>0</v>
      </c>
      <c r="AC306" s="154">
        <f>SUMIF('USCG Summary'!$A$25:$A$50,A306,'USCG Summary'!$T$25:$T$50)/3.2808^2</f>
        <v>0</v>
      </c>
      <c r="AD306" s="154">
        <f>SUMIF('USCG Summary'!$A$25:$A$50,A306,'USCG Summary'!$W$25:$W$50)/3.2808^2</f>
        <v>0</v>
      </c>
      <c r="AE306" s="154">
        <f>SUMIF('USCG Summary'!$A$25:$A$50,A306,'USCG Summary'!$Z$25:$Z$50)/3.2808^2</f>
        <v>0</v>
      </c>
      <c r="AF306" s="154">
        <f>SUMIF(Comp!$A$75:$A$400,Areas!A306,Comp!$F$75:$F$400)</f>
        <v>72.5</v>
      </c>
      <c r="AG306" s="154">
        <f>SUMIF(Comp!$A$75:$A$400,Areas!A306,Comp!$G$75:$G$400)</f>
        <v>72.5</v>
      </c>
      <c r="AH306" s="154"/>
      <c r="AI306" s="154"/>
      <c r="AK306" s="143"/>
    </row>
    <row r="307" spans="1:37" s="132" customFormat="1">
      <c r="A307" s="142">
        <v>2.4239999999999999</v>
      </c>
      <c r="B307" s="132" t="str">
        <f>Comp!B271</f>
        <v>LAUNDRY STOREROOM</v>
      </c>
      <c r="C307" s="143">
        <f t="shared" si="97"/>
        <v>0</v>
      </c>
      <c r="D307" s="143">
        <f t="shared" si="97"/>
        <v>0</v>
      </c>
      <c r="E307" s="143">
        <f t="shared" si="97"/>
        <v>0</v>
      </c>
      <c r="F307" s="143">
        <f t="shared" si="97"/>
        <v>0</v>
      </c>
      <c r="G307" s="410"/>
      <c r="H307" s="410"/>
      <c r="I307" s="410"/>
      <c r="J307" s="410"/>
      <c r="K307" s="410"/>
      <c r="L307" s="410"/>
      <c r="M307" s="410"/>
      <c r="N307" s="410"/>
      <c r="O307" s="410"/>
      <c r="P307" s="143">
        <f t="shared" si="94"/>
        <v>0</v>
      </c>
      <c r="Q307" s="143">
        <f t="shared" si="94"/>
        <v>0</v>
      </c>
      <c r="S307" s="154">
        <f>SUMIF('Flt III'!D:D,A307,'Flt III'!E:E)/3.2808^2</f>
        <v>0</v>
      </c>
      <c r="T307" s="154">
        <f>SUMIF('Flt IIa'!A:A,A307,'Flt IIa'!E:E)/3.2808^2</f>
        <v>0</v>
      </c>
      <c r="U307" s="154">
        <f>SUMIF('OPC Des'!A:A,A307,'OPC Des'!F:F)/3.2808^2</f>
        <v>0</v>
      </c>
      <c r="V307" s="154">
        <f>SUMIF('LCS 5'!A:A,A307,'LCS 5'!E:E)</f>
        <v>0</v>
      </c>
      <c r="W307" s="154">
        <f>SUMIF('USCG Summary'!$A$25:$A$50,A307,'USCG Summary'!$D$25:$D$50)/3.2808^2</f>
        <v>0</v>
      </c>
      <c r="X307" s="154">
        <f>SUMIF('USCG Summary'!$A$25:$A$50,A307,'USCG Summary'!$I$25:$I$50)/3.2808^2</f>
        <v>0</v>
      </c>
      <c r="Y307" s="154">
        <f>SUMIF('USCG Summary'!$A$25:$A$50,A307,'USCG Summary'!$L$25:$L$50)/3.2808^2</f>
        <v>0</v>
      </c>
      <c r="Z307" s="154">
        <f>SUMIF('USCG Summary'!$A$25:$A$50,A307,'USCG Summary'!$O$25:$O$50)/3.2808^2</f>
        <v>0</v>
      </c>
      <c r="AA307" s="154">
        <f>SUMIF('USCG Summary'!$A$25:$A$50,A307,'USCG Summary'!$P$25:$P$50)/3.2808^2</f>
        <v>0</v>
      </c>
      <c r="AB307" s="154">
        <f>SUMIF('USCG Summary'!$A$25:$A$50,A307,'USCG Summary'!$Q$25:$Q$50)/3.2808^2</f>
        <v>0</v>
      </c>
      <c r="AC307" s="154">
        <f>SUMIF('USCG Summary'!$A$25:$A$50,A307,'USCG Summary'!$T$25:$T$50)/3.2808^2</f>
        <v>0</v>
      </c>
      <c r="AD307" s="154">
        <f>SUMIF('USCG Summary'!$A$25:$A$50,A307,'USCG Summary'!$W$25:$W$50)/3.2808^2</f>
        <v>0</v>
      </c>
      <c r="AE307" s="154">
        <f>SUMIF('USCG Summary'!$A$25:$A$50,A307,'USCG Summary'!$Z$25:$Z$50)/3.2808^2</f>
        <v>0</v>
      </c>
      <c r="AF307" s="154">
        <f>SUMIF(Comp!$A$75:$A$400,Areas!A307,Comp!$F$75:$F$400)</f>
        <v>0</v>
      </c>
      <c r="AG307" s="154">
        <f>SUMIF(Comp!$A$75:$A$400,Areas!A307,Comp!$G$75:$G$400)</f>
        <v>0</v>
      </c>
      <c r="AH307" s="154"/>
      <c r="AI307" s="154"/>
      <c r="AK307" s="143"/>
    </row>
    <row r="308" spans="1:37" s="134" customFormat="1">
      <c r="A308" s="140">
        <v>2.44</v>
      </c>
      <c r="B308" s="134" t="str">
        <f>Comp!B272</f>
        <v>BARBER SERVICE</v>
      </c>
      <c r="C308" s="149">
        <f>SUM(C309)+C310</f>
        <v>5.3885073677024069</v>
      </c>
      <c r="D308" s="149">
        <f>T308</f>
        <v>5.3885073677024069</v>
      </c>
      <c r="E308" s="149">
        <f>U308</f>
        <v>0</v>
      </c>
      <c r="F308" s="149">
        <f>V308</f>
        <v>0</v>
      </c>
      <c r="G308" s="409"/>
      <c r="H308" s="409"/>
      <c r="I308" s="409"/>
      <c r="J308" s="409"/>
      <c r="K308" s="409"/>
      <c r="L308" s="409"/>
      <c r="M308" s="409"/>
      <c r="N308" s="409"/>
      <c r="O308" s="409"/>
      <c r="P308" s="149">
        <f t="shared" si="94"/>
        <v>13.9</v>
      </c>
      <c r="Q308" s="149">
        <f t="shared" si="94"/>
        <v>13.9</v>
      </c>
      <c r="S308" s="153">
        <f>SUMIF('Flt III'!D:D,A308,'Flt III'!E:E)/3.2808^2</f>
        <v>0</v>
      </c>
      <c r="T308" s="153">
        <f>SUMIF('Flt IIa'!A:A,A308,'Flt IIa'!E:E)/3.2808^2</f>
        <v>5.3885073677024069</v>
      </c>
      <c r="U308" s="153">
        <f>SUMIF('OPC Des'!A:A,A308,'OPC Des'!F:F)/3.2808^2</f>
        <v>0</v>
      </c>
      <c r="V308" s="153">
        <f>SUMIF('LCS 5'!A:A,A308,'LCS 5'!E:E)</f>
        <v>0</v>
      </c>
      <c r="W308" s="153">
        <f>SUMIF('USCG Summary'!$A$25:$A$50,A308,'USCG Summary'!$D$25:$D$50)/3.2808^2</f>
        <v>0</v>
      </c>
      <c r="X308" s="153">
        <f>SUMIF('USCG Summary'!$A$25:$A$50,A308,'USCG Summary'!$I$25:$I$50)/3.2808^2</f>
        <v>0</v>
      </c>
      <c r="Y308" s="153">
        <f>SUMIF('USCG Summary'!$A$25:$A$50,A308,'USCG Summary'!$L$25:$L$50)/3.2808^2</f>
        <v>0</v>
      </c>
      <c r="Z308" s="153">
        <f>SUMIF('USCG Summary'!$A$25:$A$50,A308,'USCG Summary'!$O$25:$O$50)/3.2808^2</f>
        <v>0</v>
      </c>
      <c r="AA308" s="153">
        <f>SUMIF('USCG Summary'!$A$25:$A$50,A308,'USCG Summary'!$P$25:$P$50)/3.2808^2</f>
        <v>0</v>
      </c>
      <c r="AB308" s="153">
        <f>SUMIF('USCG Summary'!$A$25:$A$50,A308,'USCG Summary'!$Q$25:$Q$50)/3.2808^2</f>
        <v>0</v>
      </c>
      <c r="AC308" s="153">
        <f>SUMIF('USCG Summary'!$A$25:$A$50,A308,'USCG Summary'!$T$25:$T$50)/3.2808^2</f>
        <v>0</v>
      </c>
      <c r="AD308" s="153">
        <f>SUMIF('USCG Summary'!$A$25:$A$50,A308,'USCG Summary'!$W$25:$W$50)/3.2808^2</f>
        <v>0</v>
      </c>
      <c r="AE308" s="153">
        <f>SUMIF('USCG Summary'!$A$25:$A$50,A308,'USCG Summary'!$Z$25:$Z$50)/3.2808^2</f>
        <v>0</v>
      </c>
      <c r="AF308" s="153">
        <f>SUMIF(Comp!$A$75:$A$400,Areas!A308,Comp!$F$75:$F$400)</f>
        <v>13.9</v>
      </c>
      <c r="AG308" s="153">
        <f>SUMIF(Comp!$A$75:$A$400,Areas!A308,Comp!$G$75:$G$400)</f>
        <v>13.9</v>
      </c>
      <c r="AH308" s="153"/>
      <c r="AI308" s="153"/>
      <c r="AK308" s="133"/>
    </row>
    <row r="309" spans="1:37" s="148" customFormat="1">
      <c r="A309" s="146" t="s">
        <v>1036</v>
      </c>
      <c r="C309" s="147">
        <f t="shared" ref="C309:F310" si="98">S309</f>
        <v>5.3885073677024069</v>
      </c>
      <c r="D309" s="147">
        <f t="shared" si="98"/>
        <v>0</v>
      </c>
      <c r="E309" s="147">
        <f t="shared" si="98"/>
        <v>0</v>
      </c>
      <c r="F309" s="147">
        <f t="shared" si="98"/>
        <v>0</v>
      </c>
      <c r="G309" s="411"/>
      <c r="H309" s="411"/>
      <c r="I309" s="411"/>
      <c r="J309" s="411"/>
      <c r="K309" s="411"/>
      <c r="L309" s="411"/>
      <c r="M309" s="411"/>
      <c r="N309" s="411"/>
      <c r="O309" s="411"/>
      <c r="P309" s="147">
        <f t="shared" si="94"/>
        <v>0</v>
      </c>
      <c r="Q309" s="147">
        <f t="shared" si="94"/>
        <v>0</v>
      </c>
      <c r="S309" s="155">
        <f>SUMIF('Flt III'!D:D,A309,'Flt III'!E:E)/3.2808^2</f>
        <v>5.3885073677024069</v>
      </c>
      <c r="T309" s="155">
        <f>SUMIF('Flt IIa'!A:A,A309,'Flt IIa'!E:E)/3.2808^2</f>
        <v>0</v>
      </c>
      <c r="U309" s="155">
        <f>SUMIF('OPC Des'!A:A,A309,'OPC Des'!F:F)/3.2808^2</f>
        <v>0</v>
      </c>
      <c r="V309" s="155">
        <f>SUMIF('LCS 5'!A:A,A309,'LCS 5'!E:E)</f>
        <v>0</v>
      </c>
      <c r="W309" s="155">
        <f>SUMIF('USCG Summary'!$A$25:$A$50,A309,'USCG Summary'!$D$25:$D$50)/3.2808^2</f>
        <v>0</v>
      </c>
      <c r="X309" s="155">
        <f>SUMIF('USCG Summary'!$A$25:$A$50,A309,'USCG Summary'!$I$25:$I$50)/3.2808^2</f>
        <v>0</v>
      </c>
      <c r="Y309" s="155">
        <f>SUMIF('USCG Summary'!$A$25:$A$50,A309,'USCG Summary'!$L$25:$L$50)/3.2808^2</f>
        <v>0</v>
      </c>
      <c r="Z309" s="155">
        <f>SUMIF('USCG Summary'!$A$25:$A$50,A309,'USCG Summary'!$O$25:$O$50)/3.2808^2</f>
        <v>0</v>
      </c>
      <c r="AA309" s="155">
        <f>SUMIF('USCG Summary'!$A$25:$A$50,A309,'USCG Summary'!$P$25:$P$50)/3.2808^2</f>
        <v>0</v>
      </c>
      <c r="AB309" s="155">
        <f>SUMIF('USCG Summary'!$A$25:$A$50,A309,'USCG Summary'!$Q$25:$Q$50)/3.2808^2</f>
        <v>0</v>
      </c>
      <c r="AC309" s="155">
        <f>SUMIF('USCG Summary'!$A$25:$A$50,A309,'USCG Summary'!$T$25:$T$50)/3.2808^2</f>
        <v>0</v>
      </c>
      <c r="AD309" s="155">
        <f>SUMIF('USCG Summary'!$A$25:$A$50,A309,'USCG Summary'!$W$25:$W$50)/3.2808^2</f>
        <v>0</v>
      </c>
      <c r="AE309" s="155">
        <f>SUMIF('USCG Summary'!$A$25:$A$50,A309,'USCG Summary'!$Z$25:$Z$50)/3.2808^2</f>
        <v>0</v>
      </c>
      <c r="AF309" s="155">
        <f>SUMIF(Comp!$A$75:$A$400,Areas!A309,Comp!$F$75:$F$400)</f>
        <v>0</v>
      </c>
      <c r="AG309" s="155">
        <f>SUMIF(Comp!$A$75:$A$400,Areas!A309,Comp!$G$75:$G$400)</f>
        <v>0</v>
      </c>
      <c r="AH309" s="155"/>
      <c r="AI309" s="155"/>
      <c r="AK309" s="147"/>
    </row>
    <row r="310" spans="1:37" s="132" customFormat="1">
      <c r="A310" s="142">
        <v>2.4420000000000002</v>
      </c>
      <c r="B310" s="132" t="str">
        <f>Comp!B273</f>
        <v>BARBER SHOP</v>
      </c>
      <c r="C310" s="143">
        <f t="shared" si="98"/>
        <v>0</v>
      </c>
      <c r="D310" s="143">
        <f t="shared" si="98"/>
        <v>0</v>
      </c>
      <c r="E310" s="143">
        <f t="shared" si="98"/>
        <v>0</v>
      </c>
      <c r="F310" s="143">
        <f t="shared" si="98"/>
        <v>0</v>
      </c>
      <c r="G310" s="410"/>
      <c r="H310" s="410"/>
      <c r="I310" s="410"/>
      <c r="J310" s="410"/>
      <c r="K310" s="410"/>
      <c r="L310" s="410"/>
      <c r="M310" s="410"/>
      <c r="N310" s="410"/>
      <c r="O310" s="410"/>
      <c r="P310" s="143">
        <f t="shared" si="94"/>
        <v>13.9</v>
      </c>
      <c r="Q310" s="143">
        <f t="shared" si="94"/>
        <v>13.9</v>
      </c>
      <c r="S310" s="154">
        <f>SUMIF('Flt III'!D:D,A310,'Flt III'!E:E)/3.2808^2</f>
        <v>0</v>
      </c>
      <c r="T310" s="154">
        <f>SUMIF('Flt IIa'!A:A,A310,'Flt IIa'!E:E)/3.2808^2</f>
        <v>0</v>
      </c>
      <c r="U310" s="154">
        <f>SUMIF('OPC Des'!A:A,A310,'OPC Des'!F:F)/3.2808^2</f>
        <v>0</v>
      </c>
      <c r="V310" s="154">
        <f>SUMIF('LCS 5'!A:A,A310,'LCS 5'!E:E)</f>
        <v>0</v>
      </c>
      <c r="W310" s="154">
        <f>SUMIF('USCG Summary'!$A$25:$A$50,A310,'USCG Summary'!$D$25:$D$50)/3.2808^2</f>
        <v>0</v>
      </c>
      <c r="X310" s="154">
        <f>SUMIF('USCG Summary'!$A$25:$A$50,A310,'USCG Summary'!$I$25:$I$50)/3.2808^2</f>
        <v>0</v>
      </c>
      <c r="Y310" s="154">
        <f>SUMIF('USCG Summary'!$A$25:$A$50,A310,'USCG Summary'!$L$25:$L$50)/3.2808^2</f>
        <v>0</v>
      </c>
      <c r="Z310" s="154">
        <f>SUMIF('USCG Summary'!$A$25:$A$50,A310,'USCG Summary'!$O$25:$O$50)/3.2808^2</f>
        <v>0</v>
      </c>
      <c r="AA310" s="154">
        <f>SUMIF('USCG Summary'!$A$25:$A$50,A310,'USCG Summary'!$P$25:$P$50)/3.2808^2</f>
        <v>0</v>
      </c>
      <c r="AB310" s="154">
        <f>SUMIF('USCG Summary'!$A$25:$A$50,A310,'USCG Summary'!$Q$25:$Q$50)/3.2808^2</f>
        <v>0</v>
      </c>
      <c r="AC310" s="154">
        <f>SUMIF('USCG Summary'!$A$25:$A$50,A310,'USCG Summary'!$T$25:$T$50)/3.2808^2</f>
        <v>0</v>
      </c>
      <c r="AD310" s="154">
        <f>SUMIF('USCG Summary'!$A$25:$A$50,A310,'USCG Summary'!$W$25:$W$50)/3.2808^2</f>
        <v>0</v>
      </c>
      <c r="AE310" s="154">
        <f>SUMIF('USCG Summary'!$A$25:$A$50,A310,'USCG Summary'!$Z$25:$Z$50)/3.2808^2</f>
        <v>0</v>
      </c>
      <c r="AF310" s="154">
        <f>SUMIF(Comp!$A$75:$A$400,Areas!A310,Comp!$F$75:$F$400)</f>
        <v>13.9</v>
      </c>
      <c r="AG310" s="154">
        <f>SUMIF(Comp!$A$75:$A$400,Areas!A310,Comp!$G$75:$G$400)</f>
        <v>13.9</v>
      </c>
      <c r="AH310" s="154"/>
      <c r="AI310" s="154"/>
      <c r="AK310" s="143"/>
    </row>
    <row r="311" spans="1:37" s="134" customFormat="1">
      <c r="A311" s="140">
        <v>2.46</v>
      </c>
      <c r="B311" s="134" t="str">
        <f>Comp!B274</f>
        <v>POSTAL SERVICE</v>
      </c>
      <c r="C311" s="149">
        <f>C312+C313</f>
        <v>8.8260034470987705</v>
      </c>
      <c r="D311" s="149">
        <f>T311</f>
        <v>8.8260034470987705</v>
      </c>
      <c r="E311" s="149">
        <f>U311</f>
        <v>0</v>
      </c>
      <c r="F311" s="149">
        <f>V311</f>
        <v>0</v>
      </c>
      <c r="G311" s="409"/>
      <c r="H311" s="409"/>
      <c r="I311" s="409"/>
      <c r="J311" s="409"/>
      <c r="K311" s="409"/>
      <c r="L311" s="409"/>
      <c r="M311" s="409"/>
      <c r="N311" s="409"/>
      <c r="O311" s="409"/>
      <c r="P311" s="149">
        <f t="shared" si="94"/>
        <v>9</v>
      </c>
      <c r="Q311" s="149">
        <f t="shared" si="94"/>
        <v>9</v>
      </c>
      <c r="S311" s="153">
        <f>SUMIF('Flt III'!D:D,A311,'Flt III'!E:E)/3.2808^2</f>
        <v>0</v>
      </c>
      <c r="T311" s="153">
        <f>SUMIF('Flt IIa'!A:A,A311,'Flt IIa'!E:E)/3.2808^2</f>
        <v>8.8260034470987705</v>
      </c>
      <c r="U311" s="153">
        <f>SUMIF('OPC Des'!A:A,A311,'OPC Des'!F:F)/3.2808^2</f>
        <v>0</v>
      </c>
      <c r="V311" s="153">
        <f>SUMIF('LCS 5'!A:A,A311,'LCS 5'!E:E)</f>
        <v>0</v>
      </c>
      <c r="W311" s="153">
        <f>SUMIF('USCG Summary'!$A$25:$A$50,A311,'USCG Summary'!$D$25:$D$50)/3.2808^2</f>
        <v>0</v>
      </c>
      <c r="X311" s="153">
        <f>SUMIF('USCG Summary'!$A$25:$A$50,A311,'USCG Summary'!$I$25:$I$50)/3.2808^2</f>
        <v>0</v>
      </c>
      <c r="Y311" s="153">
        <f>SUMIF('USCG Summary'!$A$25:$A$50,A311,'USCG Summary'!$L$25:$L$50)/3.2808^2</f>
        <v>0</v>
      </c>
      <c r="Z311" s="153">
        <f>SUMIF('USCG Summary'!$A$25:$A$50,A311,'USCG Summary'!$O$25:$O$50)/3.2808^2</f>
        <v>0</v>
      </c>
      <c r="AA311" s="153">
        <f>SUMIF('USCG Summary'!$A$25:$A$50,A311,'USCG Summary'!$P$25:$P$50)/3.2808^2</f>
        <v>0</v>
      </c>
      <c r="AB311" s="153">
        <f>SUMIF('USCG Summary'!$A$25:$A$50,A311,'USCG Summary'!$Q$25:$Q$50)/3.2808^2</f>
        <v>0</v>
      </c>
      <c r="AC311" s="153">
        <f>SUMIF('USCG Summary'!$A$25:$A$50,A311,'USCG Summary'!$T$25:$T$50)/3.2808^2</f>
        <v>0</v>
      </c>
      <c r="AD311" s="153">
        <f>SUMIF('USCG Summary'!$A$25:$A$50,A311,'USCG Summary'!$W$25:$W$50)/3.2808^2</f>
        <v>0</v>
      </c>
      <c r="AE311" s="153">
        <f>SUMIF('USCG Summary'!$A$25:$A$50,A311,'USCG Summary'!$Z$25:$Z$50)/3.2808^2</f>
        <v>0</v>
      </c>
      <c r="AF311" s="153">
        <f>SUMIF(Comp!$A$75:$A$400,Areas!A311,Comp!$F$75:$F$400)</f>
        <v>9</v>
      </c>
      <c r="AG311" s="153">
        <f>SUMIF(Comp!$A$75:$A$400,Areas!A311,Comp!$G$75:$G$400)</f>
        <v>9</v>
      </c>
      <c r="AH311" s="153"/>
      <c r="AI311" s="153"/>
      <c r="AK311" s="133"/>
    </row>
    <row r="312" spans="1:37" s="148" customFormat="1">
      <c r="A312" s="146" t="s">
        <v>1033</v>
      </c>
      <c r="C312" s="147">
        <f t="shared" ref="C312:F313" si="99">S312</f>
        <v>8.8260034470987705</v>
      </c>
      <c r="D312" s="147">
        <f t="shared" si="99"/>
        <v>0</v>
      </c>
      <c r="E312" s="147">
        <f t="shared" si="99"/>
        <v>0</v>
      </c>
      <c r="F312" s="147">
        <f t="shared" si="99"/>
        <v>0</v>
      </c>
      <c r="G312" s="411"/>
      <c r="H312" s="411"/>
      <c r="I312" s="411"/>
      <c r="J312" s="411"/>
      <c r="K312" s="411"/>
      <c r="L312" s="411"/>
      <c r="M312" s="411"/>
      <c r="N312" s="411"/>
      <c r="O312" s="411"/>
      <c r="P312" s="147">
        <f t="shared" si="94"/>
        <v>0</v>
      </c>
      <c r="Q312" s="147">
        <f t="shared" si="94"/>
        <v>0</v>
      </c>
      <c r="S312" s="155">
        <f>SUMIF('Flt III'!D:D,A312,'Flt III'!E:E)/3.2808^2</f>
        <v>8.8260034470987705</v>
      </c>
      <c r="T312" s="155">
        <f>SUMIF('Flt IIa'!A:A,A312,'Flt IIa'!E:E)/3.2808^2</f>
        <v>0</v>
      </c>
      <c r="U312" s="155">
        <f>SUMIF('OPC Des'!A:A,A312,'OPC Des'!F:F)/3.2808^2</f>
        <v>0</v>
      </c>
      <c r="V312" s="155">
        <f>SUMIF('LCS 5'!A:A,A312,'LCS 5'!E:E)</f>
        <v>0</v>
      </c>
      <c r="W312" s="155">
        <f>SUMIF('USCG Summary'!$A$25:$A$50,A312,'USCG Summary'!$D$25:$D$50)/3.2808^2</f>
        <v>0</v>
      </c>
      <c r="X312" s="155">
        <f>SUMIF('USCG Summary'!$A$25:$A$50,A312,'USCG Summary'!$I$25:$I$50)/3.2808^2</f>
        <v>0</v>
      </c>
      <c r="Y312" s="155">
        <f>SUMIF('USCG Summary'!$A$25:$A$50,A312,'USCG Summary'!$L$25:$L$50)/3.2808^2</f>
        <v>0</v>
      </c>
      <c r="Z312" s="155">
        <f>SUMIF('USCG Summary'!$A$25:$A$50,A312,'USCG Summary'!$O$25:$O$50)/3.2808^2</f>
        <v>0</v>
      </c>
      <c r="AA312" s="155">
        <f>SUMIF('USCG Summary'!$A$25:$A$50,A312,'USCG Summary'!$P$25:$P$50)/3.2808^2</f>
        <v>0</v>
      </c>
      <c r="AB312" s="155">
        <f>SUMIF('USCG Summary'!$A$25:$A$50,A312,'USCG Summary'!$Q$25:$Q$50)/3.2808^2</f>
        <v>0</v>
      </c>
      <c r="AC312" s="155">
        <f>SUMIF('USCG Summary'!$A$25:$A$50,A312,'USCG Summary'!$T$25:$T$50)/3.2808^2</f>
        <v>0</v>
      </c>
      <c r="AD312" s="155">
        <f>SUMIF('USCG Summary'!$A$25:$A$50,A312,'USCG Summary'!$W$25:$W$50)/3.2808^2</f>
        <v>0</v>
      </c>
      <c r="AE312" s="155">
        <f>SUMIF('USCG Summary'!$A$25:$A$50,A312,'USCG Summary'!$Z$25:$Z$50)/3.2808^2</f>
        <v>0</v>
      </c>
      <c r="AF312" s="155">
        <f>SUMIF(Comp!$A$75:$A$400,Areas!A312,Comp!$F$75:$F$400)</f>
        <v>0</v>
      </c>
      <c r="AG312" s="155">
        <f>SUMIF(Comp!$A$75:$A$400,Areas!A312,Comp!$G$75:$G$400)</f>
        <v>0</v>
      </c>
      <c r="AH312" s="155"/>
      <c r="AI312" s="155"/>
      <c r="AK312" s="147"/>
    </row>
    <row r="313" spans="1:37" s="132" customFormat="1">
      <c r="A313" s="142">
        <v>2.4609999999999999</v>
      </c>
      <c r="B313" s="132" t="str">
        <f>Comp!B275</f>
        <v>POST OFFICE</v>
      </c>
      <c r="C313" s="143">
        <f t="shared" si="99"/>
        <v>0</v>
      </c>
      <c r="D313" s="143">
        <f t="shared" si="99"/>
        <v>0</v>
      </c>
      <c r="E313" s="143">
        <f t="shared" si="99"/>
        <v>0</v>
      </c>
      <c r="F313" s="143">
        <f t="shared" si="99"/>
        <v>0</v>
      </c>
      <c r="G313" s="410"/>
      <c r="H313" s="410"/>
      <c r="I313" s="410"/>
      <c r="J313" s="410"/>
      <c r="K313" s="410"/>
      <c r="L313" s="410"/>
      <c r="M313" s="410"/>
      <c r="N313" s="410"/>
      <c r="O313" s="410"/>
      <c r="P313" s="143">
        <f t="shared" si="94"/>
        <v>9</v>
      </c>
      <c r="Q313" s="143">
        <f t="shared" si="94"/>
        <v>9</v>
      </c>
      <c r="S313" s="154">
        <f>SUMIF('Flt III'!D:D,A313,'Flt III'!E:E)/3.2808^2</f>
        <v>0</v>
      </c>
      <c r="T313" s="154">
        <f>SUMIF('Flt IIa'!A:A,A313,'Flt IIa'!E:E)/3.2808^2</f>
        <v>0</v>
      </c>
      <c r="U313" s="154">
        <f>SUMIF('OPC Des'!A:A,A313,'OPC Des'!F:F)/3.2808^2</f>
        <v>0</v>
      </c>
      <c r="V313" s="154">
        <f>SUMIF('LCS 5'!A:A,A313,'LCS 5'!E:E)</f>
        <v>0</v>
      </c>
      <c r="W313" s="154">
        <f>SUMIF('USCG Summary'!$A$25:$A$50,A313,'USCG Summary'!$D$25:$D$50)/3.2808^2</f>
        <v>0</v>
      </c>
      <c r="X313" s="154">
        <f>SUMIF('USCG Summary'!$A$25:$A$50,A313,'USCG Summary'!$I$25:$I$50)/3.2808^2</f>
        <v>0</v>
      </c>
      <c r="Y313" s="154">
        <f>SUMIF('USCG Summary'!$A$25:$A$50,A313,'USCG Summary'!$L$25:$L$50)/3.2808^2</f>
        <v>0</v>
      </c>
      <c r="Z313" s="154">
        <f>SUMIF('USCG Summary'!$A$25:$A$50,A313,'USCG Summary'!$O$25:$O$50)/3.2808^2</f>
        <v>0</v>
      </c>
      <c r="AA313" s="154">
        <f>SUMIF('USCG Summary'!$A$25:$A$50,A313,'USCG Summary'!$P$25:$P$50)/3.2808^2</f>
        <v>0</v>
      </c>
      <c r="AB313" s="154">
        <f>SUMIF('USCG Summary'!$A$25:$A$50,A313,'USCG Summary'!$Q$25:$Q$50)/3.2808^2</f>
        <v>0</v>
      </c>
      <c r="AC313" s="154">
        <f>SUMIF('USCG Summary'!$A$25:$A$50,A313,'USCG Summary'!$T$25:$T$50)/3.2808^2</f>
        <v>0</v>
      </c>
      <c r="AD313" s="154">
        <f>SUMIF('USCG Summary'!$A$25:$A$50,A313,'USCG Summary'!$W$25:$W$50)/3.2808^2</f>
        <v>0</v>
      </c>
      <c r="AE313" s="154">
        <f>SUMIF('USCG Summary'!$A$25:$A$50,A313,'USCG Summary'!$Z$25:$Z$50)/3.2808^2</f>
        <v>0</v>
      </c>
      <c r="AF313" s="154">
        <f>SUMIF(Comp!$A$75:$A$400,Areas!A313,Comp!$F$75:$F$400)</f>
        <v>9</v>
      </c>
      <c r="AG313" s="154">
        <f>SUMIF(Comp!$A$75:$A$400,Areas!A313,Comp!$G$75:$G$400)</f>
        <v>9</v>
      </c>
      <c r="AH313" s="154"/>
      <c r="AI313" s="154"/>
      <c r="AK313" s="143"/>
    </row>
    <row r="314" spans="1:37" s="134" customFormat="1">
      <c r="A314" s="140">
        <v>2.4700000000000002</v>
      </c>
      <c r="B314" s="134" t="str">
        <f>Comp!B276</f>
        <v>BRIG</v>
      </c>
      <c r="C314" s="149">
        <f t="shared" ref="C314:F315" si="100">S314</f>
        <v>0</v>
      </c>
      <c r="D314" s="149">
        <f t="shared" si="100"/>
        <v>0</v>
      </c>
      <c r="E314" s="149">
        <f t="shared" si="100"/>
        <v>0</v>
      </c>
      <c r="F314" s="149">
        <f t="shared" si="100"/>
        <v>0</v>
      </c>
      <c r="G314" s="409"/>
      <c r="H314" s="409"/>
      <c r="I314" s="409"/>
      <c r="J314" s="409"/>
      <c r="K314" s="409"/>
      <c r="L314" s="409"/>
      <c r="M314" s="409"/>
      <c r="N314" s="409"/>
      <c r="O314" s="409"/>
      <c r="P314" s="149">
        <f t="shared" si="94"/>
        <v>0</v>
      </c>
      <c r="Q314" s="149">
        <f t="shared" si="94"/>
        <v>0</v>
      </c>
      <c r="S314" s="153">
        <f>SUMIF('Flt III'!D:D,A314,'Flt III'!E:E)/3.2808^2</f>
        <v>0</v>
      </c>
      <c r="T314" s="153">
        <f>SUMIF('Flt IIa'!A:A,A314,'Flt IIa'!E:E)/3.2808^2</f>
        <v>0</v>
      </c>
      <c r="U314" s="153">
        <f>SUMIF('OPC Des'!A:A,A314,'OPC Des'!F:F)/3.2808^2</f>
        <v>0</v>
      </c>
      <c r="V314" s="153">
        <f>SUMIF('LCS 5'!A:A,A314,'LCS 5'!E:E)</f>
        <v>0</v>
      </c>
      <c r="W314" s="153">
        <f>SUMIF('USCG Summary'!$A$25:$A$50,A314,'USCG Summary'!$D$25:$D$50)/3.2808^2</f>
        <v>0</v>
      </c>
      <c r="X314" s="153">
        <f>SUMIF('USCG Summary'!$A$25:$A$50,A314,'USCG Summary'!$I$25:$I$50)/3.2808^2</f>
        <v>0</v>
      </c>
      <c r="Y314" s="153">
        <f>SUMIF('USCG Summary'!$A$25:$A$50,A314,'USCG Summary'!$L$25:$L$50)/3.2808^2</f>
        <v>0</v>
      </c>
      <c r="Z314" s="153">
        <f>SUMIF('USCG Summary'!$A$25:$A$50,A314,'USCG Summary'!$O$25:$O$50)/3.2808^2</f>
        <v>0</v>
      </c>
      <c r="AA314" s="153">
        <f>SUMIF('USCG Summary'!$A$25:$A$50,A314,'USCG Summary'!$P$25:$P$50)/3.2808^2</f>
        <v>0</v>
      </c>
      <c r="AB314" s="153">
        <f>SUMIF('USCG Summary'!$A$25:$A$50,A314,'USCG Summary'!$Q$25:$Q$50)/3.2808^2</f>
        <v>0</v>
      </c>
      <c r="AC314" s="153">
        <f>SUMIF('USCG Summary'!$A$25:$A$50,A314,'USCG Summary'!$T$25:$T$50)/3.2808^2</f>
        <v>0</v>
      </c>
      <c r="AD314" s="153">
        <f>SUMIF('USCG Summary'!$A$25:$A$50,A314,'USCG Summary'!$W$25:$W$50)/3.2808^2</f>
        <v>0</v>
      </c>
      <c r="AE314" s="153">
        <f>SUMIF('USCG Summary'!$A$25:$A$50,A314,'USCG Summary'!$Z$25:$Z$50)/3.2808^2</f>
        <v>0</v>
      </c>
      <c r="AF314" s="153">
        <f>SUMIF(Comp!$A$75:$A$400,Areas!A314,Comp!$F$75:$F$400)</f>
        <v>0</v>
      </c>
      <c r="AG314" s="153">
        <f>SUMIF(Comp!$A$75:$A$400,Areas!A314,Comp!$G$75:$G$400)</f>
        <v>0</v>
      </c>
      <c r="AH314" s="153"/>
      <c r="AI314" s="153"/>
      <c r="AK314" s="133"/>
    </row>
    <row r="315" spans="1:37" s="134" customFormat="1">
      <c r="A315" s="140">
        <v>2.48</v>
      </c>
      <c r="B315" s="134" t="str">
        <f>Comp!B277</f>
        <v>RELIGIOUS</v>
      </c>
      <c r="C315" s="149">
        <f t="shared" si="100"/>
        <v>0</v>
      </c>
      <c r="D315" s="149">
        <f t="shared" si="100"/>
        <v>0</v>
      </c>
      <c r="E315" s="149">
        <f t="shared" si="100"/>
        <v>0</v>
      </c>
      <c r="F315" s="149">
        <f t="shared" si="100"/>
        <v>0</v>
      </c>
      <c r="G315" s="409"/>
      <c r="H315" s="409"/>
      <c r="I315" s="409"/>
      <c r="J315" s="409"/>
      <c r="K315" s="409"/>
      <c r="L315" s="409"/>
      <c r="M315" s="409"/>
      <c r="N315" s="409"/>
      <c r="O315" s="409"/>
      <c r="P315" s="149">
        <f t="shared" si="94"/>
        <v>0</v>
      </c>
      <c r="Q315" s="149">
        <f t="shared" si="94"/>
        <v>0</v>
      </c>
      <c r="S315" s="153">
        <f>SUMIF('Flt III'!D:D,A315,'Flt III'!E:E)/3.2808^2</f>
        <v>0</v>
      </c>
      <c r="T315" s="153">
        <f>SUMIF('Flt IIa'!A:A,A315,'Flt IIa'!E:E)/3.2808^2</f>
        <v>0</v>
      </c>
      <c r="U315" s="153">
        <f>SUMIF('OPC Des'!A:A,A315,'OPC Des'!F:F)/3.2808^2</f>
        <v>0</v>
      </c>
      <c r="V315" s="153">
        <f>SUMIF('LCS 5'!A:A,A315,'LCS 5'!E:E)</f>
        <v>0</v>
      </c>
      <c r="W315" s="153">
        <f>SUMIF('USCG Summary'!$A$25:$A$50,A315,'USCG Summary'!$D$25:$D$50)/3.2808^2</f>
        <v>0</v>
      </c>
      <c r="X315" s="153">
        <f>SUMIF('USCG Summary'!$A$25:$A$50,A315,'USCG Summary'!$I$25:$I$50)/3.2808^2</f>
        <v>0</v>
      </c>
      <c r="Y315" s="153">
        <f>SUMIF('USCG Summary'!$A$25:$A$50,A315,'USCG Summary'!$L$25:$L$50)/3.2808^2</f>
        <v>0</v>
      </c>
      <c r="Z315" s="153">
        <f>SUMIF('USCG Summary'!$A$25:$A$50,A315,'USCG Summary'!$O$25:$O$50)/3.2808^2</f>
        <v>0</v>
      </c>
      <c r="AA315" s="153">
        <f>SUMIF('USCG Summary'!$A$25:$A$50,A315,'USCG Summary'!$P$25:$P$50)/3.2808^2</f>
        <v>0</v>
      </c>
      <c r="AB315" s="153">
        <f>SUMIF('USCG Summary'!$A$25:$A$50,A315,'USCG Summary'!$Q$25:$Q$50)/3.2808^2</f>
        <v>0</v>
      </c>
      <c r="AC315" s="153">
        <f>SUMIF('USCG Summary'!$A$25:$A$50,A315,'USCG Summary'!$T$25:$T$50)/3.2808^2</f>
        <v>0</v>
      </c>
      <c r="AD315" s="153">
        <f>SUMIF('USCG Summary'!$A$25:$A$50,A315,'USCG Summary'!$W$25:$W$50)/3.2808^2</f>
        <v>0</v>
      </c>
      <c r="AE315" s="153">
        <f>SUMIF('USCG Summary'!$A$25:$A$50,A315,'USCG Summary'!$Z$25:$Z$50)/3.2808^2</f>
        <v>0</v>
      </c>
      <c r="AF315" s="153">
        <f>SUMIF(Comp!$A$75:$A$400,Areas!A315,Comp!$F$75:$F$400)</f>
        <v>0</v>
      </c>
      <c r="AG315" s="153">
        <f>SUMIF(Comp!$A$75:$A$400,Areas!A315,Comp!$G$75:$G$400)</f>
        <v>0</v>
      </c>
      <c r="AH315" s="153"/>
      <c r="AI315" s="153"/>
      <c r="AK315" s="133"/>
    </row>
    <row r="316" spans="1:37" s="139" customFormat="1">
      <c r="A316" s="137">
        <v>2.5</v>
      </c>
      <c r="B316" s="139" t="str">
        <f>Comp!B278</f>
        <v>PERSONNEL STORES</v>
      </c>
      <c r="C316" s="150">
        <f>C317+C325+C330+C333+C335</f>
        <v>60.109728739714775</v>
      </c>
      <c r="D316" s="150">
        <f>D317+D325+D330+D333+D335</f>
        <v>48.682376908207949</v>
      </c>
      <c r="E316" s="150">
        <f>E317+E325+E330+E333+E335</f>
        <v>6.2246550626907116</v>
      </c>
      <c r="F316" s="150">
        <f>F317+F325+F330+F333+F335</f>
        <v>0</v>
      </c>
      <c r="G316" s="406">
        <f>W316</f>
        <v>15.700995605891496</v>
      </c>
      <c r="H316" s="406">
        <f t="shared" ref="H316:O316" si="101">X316</f>
        <v>4.5059070229925302</v>
      </c>
      <c r="I316" s="406">
        <f t="shared" si="101"/>
        <v>4.8310755710435371</v>
      </c>
      <c r="J316" s="406">
        <f t="shared" si="101"/>
        <v>5.9923918140828487</v>
      </c>
      <c r="K316" s="406">
        <f t="shared" si="101"/>
        <v>14.400321413687466</v>
      </c>
      <c r="L316" s="406">
        <f t="shared" si="101"/>
        <v>18.395249289742701</v>
      </c>
      <c r="M316" s="406">
        <f t="shared" si="101"/>
        <v>33.236870875785108</v>
      </c>
      <c r="N316" s="406">
        <f t="shared" si="101"/>
        <v>57.880001553079303</v>
      </c>
      <c r="O316" s="406">
        <f t="shared" si="101"/>
        <v>78.040451532241761</v>
      </c>
      <c r="P316" s="150">
        <f t="shared" si="94"/>
        <v>45.7</v>
      </c>
      <c r="Q316" s="150">
        <f t="shared" si="94"/>
        <v>45.7</v>
      </c>
      <c r="S316" s="152">
        <f>SUMIF('Flt III'!D:D,A316,'Flt III'!E:E)/3.2808^2</f>
        <v>0</v>
      </c>
      <c r="T316" s="152">
        <f>SUMIF('Flt IIa'!A:A,A316,'Flt IIa'!E:E)/3.2808^2</f>
        <v>0</v>
      </c>
      <c r="U316" s="152">
        <f>SUMIF('OPC Des'!A:A,A316,'OPC Des'!F:F)/3.2808^2</f>
        <v>0</v>
      </c>
      <c r="V316" s="152">
        <f>SUMIF('LCS 5'!A:A,A316,'LCS 5'!E:E)</f>
        <v>0</v>
      </c>
      <c r="W316" s="152">
        <f>SUMIF('USCG Summary'!$A$25:$A$50,A316,'USCG Summary'!$D$25:$D$50)/3.2808^2</f>
        <v>15.700995605891496</v>
      </c>
      <c r="X316" s="152">
        <f>SUMIF('USCG Summary'!$A$25:$A$50,A316,'USCG Summary'!$I$25:$I$50)/3.2808^2</f>
        <v>4.5059070229925302</v>
      </c>
      <c r="Y316" s="152">
        <f>SUMIF('USCG Summary'!$A$25:$A$50,A316,'USCG Summary'!$L$25:$L$50)/3.2808^2</f>
        <v>4.8310755710435371</v>
      </c>
      <c r="Z316" s="152">
        <f>SUMIF('USCG Summary'!$A$25:$A$50,A316,'USCG Summary'!$O$25:$O$50)/3.2808^2</f>
        <v>5.9923918140828487</v>
      </c>
      <c r="AA316" s="152">
        <f>SUMIF('USCG Summary'!$A$25:$A$50,A316,'USCG Summary'!$P$25:$P$50)/3.2808^2</f>
        <v>14.400321413687466</v>
      </c>
      <c r="AB316" s="152">
        <f>SUMIF('USCG Summary'!$A$25:$A$50,A316,'USCG Summary'!$Q$25:$Q$50)/3.2808^2</f>
        <v>18.395249289742701</v>
      </c>
      <c r="AC316" s="152">
        <f>SUMIF('USCG Summary'!$A$25:$A$50,A316,'USCG Summary'!$T$25:$T$50)/3.2808^2</f>
        <v>33.236870875785108</v>
      </c>
      <c r="AD316" s="152">
        <f>SUMIF('USCG Summary'!$A$25:$A$50,A316,'USCG Summary'!$W$25:$W$50)/3.2808^2</f>
        <v>57.880001553079303</v>
      </c>
      <c r="AE316" s="152">
        <f>SUMIF('USCG Summary'!$A$25:$A$50,A316,'USCG Summary'!$Z$25:$Z$50)/3.2808^2</f>
        <v>78.040451532241761</v>
      </c>
      <c r="AF316" s="152">
        <f>SUMIF(Comp!$A$75:$A$400,Areas!A316,Comp!$F$75:$F$400)</f>
        <v>45.7</v>
      </c>
      <c r="AG316" s="152">
        <f>SUMIF(Comp!$A$75:$A$400,Areas!A316,Comp!$G$75:$G$400)</f>
        <v>45.7</v>
      </c>
      <c r="AH316" s="152"/>
      <c r="AI316" s="152"/>
      <c r="AK316" s="138"/>
    </row>
    <row r="317" spans="1:37" s="134" customFormat="1">
      <c r="A317" s="140">
        <v>2.5099999999999998</v>
      </c>
      <c r="B317" s="134" t="str">
        <f>Comp!B279</f>
        <v>BAGGAGE STOREROOMS</v>
      </c>
      <c r="C317" s="149">
        <f>SUM(C318:C321)+C322+C323+C324</f>
        <v>50.633388196513998</v>
      </c>
      <c r="D317" s="149">
        <f>T317</f>
        <v>28.243211030716065</v>
      </c>
      <c r="E317" s="149">
        <f>U317</f>
        <v>0</v>
      </c>
      <c r="F317" s="149">
        <f>V317</f>
        <v>0</v>
      </c>
      <c r="G317" s="409"/>
      <c r="H317" s="409"/>
      <c r="I317" s="409"/>
      <c r="J317" s="409"/>
      <c r="K317" s="409"/>
      <c r="L317" s="409"/>
      <c r="M317" s="409"/>
      <c r="N317" s="409"/>
      <c r="O317" s="409"/>
      <c r="P317" s="149">
        <f t="shared" si="94"/>
        <v>25.6</v>
      </c>
      <c r="Q317" s="149">
        <f t="shared" si="94"/>
        <v>25.6</v>
      </c>
      <c r="S317" s="153">
        <f>SUMIF('Flt III'!D:D,A317,'Flt III'!E:E)/3.2808^2</f>
        <v>0</v>
      </c>
      <c r="T317" s="153">
        <f>SUMIF('Flt IIa'!A:A,A317,'Flt IIa'!E:E)/3.2808^2</f>
        <v>28.243211030716065</v>
      </c>
      <c r="U317" s="153">
        <f>SUMIF('OPC Des'!A:A,A317,'OPC Des'!F:F)/3.2808^2</f>
        <v>0</v>
      </c>
      <c r="V317" s="153">
        <f>SUMIF('LCS 5'!A:A,A317,'LCS 5'!E:E)</f>
        <v>0</v>
      </c>
      <c r="W317" s="153">
        <f>SUMIF('USCG Summary'!$A$25:$A$50,A317,'USCG Summary'!$D$25:$D$50)/3.2808^2</f>
        <v>0</v>
      </c>
      <c r="X317" s="153">
        <f>SUMIF('USCG Summary'!$A$25:$A$50,A317,'USCG Summary'!$I$25:$I$50)/3.2808^2</f>
        <v>0</v>
      </c>
      <c r="Y317" s="153">
        <f>SUMIF('USCG Summary'!$A$25:$A$50,A317,'USCG Summary'!$L$25:$L$50)/3.2808^2</f>
        <v>0</v>
      </c>
      <c r="Z317" s="153">
        <f>SUMIF('USCG Summary'!$A$25:$A$50,A317,'USCG Summary'!$O$25:$O$50)/3.2808^2</f>
        <v>0</v>
      </c>
      <c r="AA317" s="153">
        <f>SUMIF('USCG Summary'!$A$25:$A$50,A317,'USCG Summary'!$P$25:$P$50)/3.2808^2</f>
        <v>0</v>
      </c>
      <c r="AB317" s="153">
        <f>SUMIF('USCG Summary'!$A$25:$A$50,A317,'USCG Summary'!$Q$25:$Q$50)/3.2808^2</f>
        <v>0</v>
      </c>
      <c r="AC317" s="153">
        <f>SUMIF('USCG Summary'!$A$25:$A$50,A317,'USCG Summary'!$T$25:$T$50)/3.2808^2</f>
        <v>0</v>
      </c>
      <c r="AD317" s="153">
        <f>SUMIF('USCG Summary'!$A$25:$A$50,A317,'USCG Summary'!$W$25:$W$50)/3.2808^2</f>
        <v>0</v>
      </c>
      <c r="AE317" s="153">
        <f>SUMIF('USCG Summary'!$A$25:$A$50,A317,'USCG Summary'!$Z$25:$Z$50)/3.2808^2</f>
        <v>0</v>
      </c>
      <c r="AF317" s="153">
        <f>SUMIF(Comp!$A$75:$A$400,Areas!A317,Comp!$F$75:$F$400)</f>
        <v>25.6</v>
      </c>
      <c r="AG317" s="153">
        <f>SUMIF(Comp!$A$75:$A$400,Areas!A317,Comp!$G$75:$G$400)</f>
        <v>25.6</v>
      </c>
      <c r="AH317" s="153"/>
      <c r="AI317" s="153"/>
      <c r="AK317" s="133"/>
    </row>
    <row r="318" spans="1:37" s="148" customFormat="1">
      <c r="A318" s="146" t="s">
        <v>1029</v>
      </c>
      <c r="C318" s="147">
        <f t="shared" ref="C318:F324" si="102">S318</f>
        <v>4.6452649721572472</v>
      </c>
      <c r="D318" s="147">
        <f t="shared" si="102"/>
        <v>0</v>
      </c>
      <c r="E318" s="147">
        <f t="shared" si="102"/>
        <v>0</v>
      </c>
      <c r="F318" s="147">
        <f t="shared" si="102"/>
        <v>0</v>
      </c>
      <c r="G318" s="411"/>
      <c r="H318" s="411"/>
      <c r="I318" s="411"/>
      <c r="J318" s="411"/>
      <c r="K318" s="411"/>
      <c r="L318" s="411"/>
      <c r="M318" s="411"/>
      <c r="N318" s="411"/>
      <c r="O318" s="411"/>
      <c r="P318" s="147">
        <f t="shared" si="94"/>
        <v>0</v>
      </c>
      <c r="Q318" s="147">
        <f t="shared" si="94"/>
        <v>0</v>
      </c>
      <c r="S318" s="155">
        <f>SUMIF('Flt III'!D:D,A318,'Flt III'!E:E)/3.2808^2</f>
        <v>4.6452649721572472</v>
      </c>
      <c r="T318" s="155">
        <f>SUMIF('Flt IIa'!A:A,A318,'Flt IIa'!E:E)/3.2808^2</f>
        <v>0</v>
      </c>
      <c r="U318" s="155">
        <f>SUMIF('OPC Des'!A:A,A318,'OPC Des'!F:F)/3.2808^2</f>
        <v>0</v>
      </c>
      <c r="V318" s="155">
        <f>SUMIF('LCS 5'!A:A,A318,'LCS 5'!E:E)</f>
        <v>0</v>
      </c>
      <c r="W318" s="155">
        <f>SUMIF('USCG Summary'!$A$25:$A$50,A318,'USCG Summary'!$D$25:$D$50)/3.2808^2</f>
        <v>0</v>
      </c>
      <c r="X318" s="155">
        <f>SUMIF('USCG Summary'!$A$25:$A$50,A318,'USCG Summary'!$I$25:$I$50)/3.2808^2</f>
        <v>0</v>
      </c>
      <c r="Y318" s="155">
        <f>SUMIF('USCG Summary'!$A$25:$A$50,A318,'USCG Summary'!$L$25:$L$50)/3.2808^2</f>
        <v>0</v>
      </c>
      <c r="Z318" s="155">
        <f>SUMIF('USCG Summary'!$A$25:$A$50,A318,'USCG Summary'!$O$25:$O$50)/3.2808^2</f>
        <v>0</v>
      </c>
      <c r="AA318" s="155">
        <f>SUMIF('USCG Summary'!$A$25:$A$50,A318,'USCG Summary'!$P$25:$P$50)/3.2808^2</f>
        <v>0</v>
      </c>
      <c r="AB318" s="155">
        <f>SUMIF('USCG Summary'!$A$25:$A$50,A318,'USCG Summary'!$Q$25:$Q$50)/3.2808^2</f>
        <v>0</v>
      </c>
      <c r="AC318" s="155">
        <f>SUMIF('USCG Summary'!$A$25:$A$50,A318,'USCG Summary'!$T$25:$T$50)/3.2808^2</f>
        <v>0</v>
      </c>
      <c r="AD318" s="155">
        <f>SUMIF('USCG Summary'!$A$25:$A$50,A318,'USCG Summary'!$W$25:$W$50)/3.2808^2</f>
        <v>0</v>
      </c>
      <c r="AE318" s="155">
        <f>SUMIF('USCG Summary'!$A$25:$A$50,A318,'USCG Summary'!$Z$25:$Z$50)/3.2808^2</f>
        <v>0</v>
      </c>
      <c r="AF318" s="155">
        <f>SUMIF(Comp!$A$75:$A$400,Areas!A318,Comp!$F$75:$F$400)</f>
        <v>0</v>
      </c>
      <c r="AG318" s="155">
        <f>SUMIF(Comp!$A$75:$A$400,Areas!A318,Comp!$G$75:$G$400)</f>
        <v>0</v>
      </c>
      <c r="AH318" s="155"/>
      <c r="AI318" s="155"/>
      <c r="AK318" s="147"/>
    </row>
    <row r="319" spans="1:37" s="148" customFormat="1">
      <c r="A319" s="146" t="s">
        <v>1026</v>
      </c>
      <c r="C319" s="147">
        <f t="shared" si="102"/>
        <v>7.8969504526673209</v>
      </c>
      <c r="D319" s="147">
        <f t="shared" si="102"/>
        <v>0</v>
      </c>
      <c r="E319" s="147">
        <f t="shared" si="102"/>
        <v>0</v>
      </c>
      <c r="F319" s="147">
        <f t="shared" si="102"/>
        <v>0</v>
      </c>
      <c r="G319" s="411"/>
      <c r="H319" s="411"/>
      <c r="I319" s="411"/>
      <c r="J319" s="411"/>
      <c r="K319" s="411"/>
      <c r="L319" s="411"/>
      <c r="M319" s="411"/>
      <c r="N319" s="411"/>
      <c r="O319" s="411"/>
      <c r="P319" s="147">
        <f t="shared" si="94"/>
        <v>0</v>
      </c>
      <c r="Q319" s="147">
        <f t="shared" si="94"/>
        <v>0</v>
      </c>
      <c r="S319" s="155">
        <f>SUMIF('Flt III'!D:D,A319,'Flt III'!E:E)/3.2808^2</f>
        <v>7.8969504526673209</v>
      </c>
      <c r="T319" s="155">
        <f>SUMIF('Flt IIa'!A:A,A319,'Flt IIa'!E:E)/3.2808^2</f>
        <v>0</v>
      </c>
      <c r="U319" s="155">
        <f>SUMIF('OPC Des'!A:A,A319,'OPC Des'!F:F)/3.2808^2</f>
        <v>0</v>
      </c>
      <c r="V319" s="155">
        <f>SUMIF('LCS 5'!A:A,A319,'LCS 5'!E:E)</f>
        <v>0</v>
      </c>
      <c r="W319" s="155">
        <f>SUMIF('USCG Summary'!$A$25:$A$50,A319,'USCG Summary'!$D$25:$D$50)/3.2808^2</f>
        <v>0</v>
      </c>
      <c r="X319" s="155">
        <f>SUMIF('USCG Summary'!$A$25:$A$50,A319,'USCG Summary'!$I$25:$I$50)/3.2808^2</f>
        <v>0</v>
      </c>
      <c r="Y319" s="155">
        <f>SUMIF('USCG Summary'!$A$25:$A$50,A319,'USCG Summary'!$L$25:$L$50)/3.2808^2</f>
        <v>0</v>
      </c>
      <c r="Z319" s="155">
        <f>SUMIF('USCG Summary'!$A$25:$A$50,A319,'USCG Summary'!$O$25:$O$50)/3.2808^2</f>
        <v>0</v>
      </c>
      <c r="AA319" s="155">
        <f>SUMIF('USCG Summary'!$A$25:$A$50,A319,'USCG Summary'!$P$25:$P$50)/3.2808^2</f>
        <v>0</v>
      </c>
      <c r="AB319" s="155">
        <f>SUMIF('USCG Summary'!$A$25:$A$50,A319,'USCG Summary'!$Q$25:$Q$50)/3.2808^2</f>
        <v>0</v>
      </c>
      <c r="AC319" s="155">
        <f>SUMIF('USCG Summary'!$A$25:$A$50,A319,'USCG Summary'!$T$25:$T$50)/3.2808^2</f>
        <v>0</v>
      </c>
      <c r="AD319" s="155">
        <f>SUMIF('USCG Summary'!$A$25:$A$50,A319,'USCG Summary'!$W$25:$W$50)/3.2808^2</f>
        <v>0</v>
      </c>
      <c r="AE319" s="155">
        <f>SUMIF('USCG Summary'!$A$25:$A$50,A319,'USCG Summary'!$Z$25:$Z$50)/3.2808^2</f>
        <v>0</v>
      </c>
      <c r="AF319" s="155">
        <f>SUMIF(Comp!$A$75:$A$400,Areas!A319,Comp!$F$75:$F$400)</f>
        <v>0</v>
      </c>
      <c r="AG319" s="155">
        <f>SUMIF(Comp!$A$75:$A$400,Areas!A319,Comp!$G$75:$G$400)</f>
        <v>0</v>
      </c>
      <c r="AH319" s="155"/>
      <c r="AI319" s="155"/>
      <c r="AK319" s="147"/>
    </row>
    <row r="320" spans="1:37" s="148" customFormat="1">
      <c r="A320" s="146">
        <v>2.5100300299999998</v>
      </c>
      <c r="C320" s="147">
        <f t="shared" si="102"/>
        <v>19.045586385844715</v>
      </c>
      <c r="D320" s="147">
        <f t="shared" si="102"/>
        <v>0</v>
      </c>
      <c r="E320" s="147">
        <f t="shared" si="102"/>
        <v>0</v>
      </c>
      <c r="F320" s="147">
        <f t="shared" si="102"/>
        <v>0</v>
      </c>
      <c r="G320" s="411"/>
      <c r="H320" s="411"/>
      <c r="I320" s="411"/>
      <c r="J320" s="411"/>
      <c r="K320" s="411"/>
      <c r="L320" s="411"/>
      <c r="M320" s="411"/>
      <c r="N320" s="411"/>
      <c r="O320" s="411"/>
      <c r="P320" s="147">
        <f t="shared" si="94"/>
        <v>0</v>
      </c>
      <c r="Q320" s="147">
        <f t="shared" si="94"/>
        <v>0</v>
      </c>
      <c r="S320" s="155">
        <f>SUMIF('Flt III'!D:D,A320,'Flt III'!E:E)/3.2808^2</f>
        <v>19.045586385844715</v>
      </c>
      <c r="T320" s="155">
        <f>SUMIF('Flt IIa'!A:A,A320,'Flt IIa'!E:E)/3.2808^2</f>
        <v>0</v>
      </c>
      <c r="U320" s="155">
        <f>SUMIF('OPC Des'!A:A,A320,'OPC Des'!F:F)/3.2808^2</f>
        <v>0</v>
      </c>
      <c r="V320" s="155">
        <f>SUMIF('LCS 5'!A:A,A320,'LCS 5'!E:E)</f>
        <v>0</v>
      </c>
      <c r="W320" s="155">
        <f>SUMIF('USCG Summary'!$A$25:$A$50,A320,'USCG Summary'!$D$25:$D$50)/3.2808^2</f>
        <v>0</v>
      </c>
      <c r="X320" s="155">
        <f>SUMIF('USCG Summary'!$A$25:$A$50,A320,'USCG Summary'!$I$25:$I$50)/3.2808^2</f>
        <v>0</v>
      </c>
      <c r="Y320" s="155">
        <f>SUMIF('USCG Summary'!$A$25:$A$50,A320,'USCG Summary'!$L$25:$L$50)/3.2808^2</f>
        <v>0</v>
      </c>
      <c r="Z320" s="155">
        <f>SUMIF('USCG Summary'!$A$25:$A$50,A320,'USCG Summary'!$O$25:$O$50)/3.2808^2</f>
        <v>0</v>
      </c>
      <c r="AA320" s="155">
        <f>SUMIF('USCG Summary'!$A$25:$A$50,A320,'USCG Summary'!$P$25:$P$50)/3.2808^2</f>
        <v>0</v>
      </c>
      <c r="AB320" s="155">
        <f>SUMIF('USCG Summary'!$A$25:$A$50,A320,'USCG Summary'!$Q$25:$Q$50)/3.2808^2</f>
        <v>0</v>
      </c>
      <c r="AC320" s="155">
        <f>SUMIF('USCG Summary'!$A$25:$A$50,A320,'USCG Summary'!$T$25:$T$50)/3.2808^2</f>
        <v>0</v>
      </c>
      <c r="AD320" s="155">
        <f>SUMIF('USCG Summary'!$A$25:$A$50,A320,'USCG Summary'!$W$25:$W$50)/3.2808^2</f>
        <v>0</v>
      </c>
      <c r="AE320" s="155">
        <f>SUMIF('USCG Summary'!$A$25:$A$50,A320,'USCG Summary'!$Z$25:$Z$50)/3.2808^2</f>
        <v>0</v>
      </c>
      <c r="AF320" s="155">
        <f>SUMIF(Comp!$A$75:$A$400,Areas!A320,Comp!$F$75:$F$400)</f>
        <v>0</v>
      </c>
      <c r="AG320" s="155">
        <f>SUMIF(Comp!$A$75:$A$400,Areas!A320,Comp!$G$75:$G$400)</f>
        <v>0</v>
      </c>
      <c r="AH320" s="155"/>
      <c r="AI320" s="155"/>
      <c r="AK320" s="147"/>
    </row>
    <row r="321" spans="1:37" s="148" customFormat="1">
      <c r="A321" s="146" t="s">
        <v>1021</v>
      </c>
      <c r="C321" s="147">
        <f t="shared" si="102"/>
        <v>19.045586385844715</v>
      </c>
      <c r="D321" s="147">
        <f t="shared" si="102"/>
        <v>0</v>
      </c>
      <c r="E321" s="147">
        <f t="shared" si="102"/>
        <v>0</v>
      </c>
      <c r="F321" s="147">
        <f t="shared" si="102"/>
        <v>0</v>
      </c>
      <c r="G321" s="411"/>
      <c r="H321" s="411"/>
      <c r="I321" s="411"/>
      <c r="J321" s="411"/>
      <c r="K321" s="411"/>
      <c r="L321" s="411"/>
      <c r="M321" s="411"/>
      <c r="N321" s="411"/>
      <c r="O321" s="411"/>
      <c r="P321" s="147">
        <f t="shared" si="94"/>
        <v>0</v>
      </c>
      <c r="Q321" s="147">
        <f t="shared" si="94"/>
        <v>0</v>
      </c>
      <c r="S321" s="155">
        <f>SUMIF('Flt III'!D:D,A321,'Flt III'!E:E)/3.2808^2</f>
        <v>19.045586385844715</v>
      </c>
      <c r="T321" s="155">
        <f>SUMIF('Flt IIa'!A:A,A321,'Flt IIa'!E:E)/3.2808^2</f>
        <v>0</v>
      </c>
      <c r="U321" s="155">
        <f>SUMIF('OPC Des'!A:A,A321,'OPC Des'!F:F)/3.2808^2</f>
        <v>0</v>
      </c>
      <c r="V321" s="155">
        <f>SUMIF('LCS 5'!A:A,A321,'LCS 5'!E:E)</f>
        <v>0</v>
      </c>
      <c r="W321" s="155">
        <f>SUMIF('USCG Summary'!$A$25:$A$50,A321,'USCG Summary'!$D$25:$D$50)/3.2808^2</f>
        <v>0</v>
      </c>
      <c r="X321" s="155">
        <f>SUMIF('USCG Summary'!$A$25:$A$50,A321,'USCG Summary'!$I$25:$I$50)/3.2808^2</f>
        <v>0</v>
      </c>
      <c r="Y321" s="155">
        <f>SUMIF('USCG Summary'!$A$25:$A$50,A321,'USCG Summary'!$L$25:$L$50)/3.2808^2</f>
        <v>0</v>
      </c>
      <c r="Z321" s="155">
        <f>SUMIF('USCG Summary'!$A$25:$A$50,A321,'USCG Summary'!$O$25:$O$50)/3.2808^2</f>
        <v>0</v>
      </c>
      <c r="AA321" s="155">
        <f>SUMIF('USCG Summary'!$A$25:$A$50,A321,'USCG Summary'!$P$25:$P$50)/3.2808^2</f>
        <v>0</v>
      </c>
      <c r="AB321" s="155">
        <f>SUMIF('USCG Summary'!$A$25:$A$50,A321,'USCG Summary'!$Q$25:$Q$50)/3.2808^2</f>
        <v>0</v>
      </c>
      <c r="AC321" s="155">
        <f>SUMIF('USCG Summary'!$A$25:$A$50,A321,'USCG Summary'!$T$25:$T$50)/3.2808^2</f>
        <v>0</v>
      </c>
      <c r="AD321" s="155">
        <f>SUMIF('USCG Summary'!$A$25:$A$50,A321,'USCG Summary'!$W$25:$W$50)/3.2808^2</f>
        <v>0</v>
      </c>
      <c r="AE321" s="155">
        <f>SUMIF('USCG Summary'!$A$25:$A$50,A321,'USCG Summary'!$Z$25:$Z$50)/3.2808^2</f>
        <v>0</v>
      </c>
      <c r="AF321" s="155">
        <f>SUMIF(Comp!$A$75:$A$400,Areas!A321,Comp!$F$75:$F$400)</f>
        <v>0</v>
      </c>
      <c r="AG321" s="155">
        <f>SUMIF(Comp!$A$75:$A$400,Areas!A321,Comp!$G$75:$G$400)</f>
        <v>0</v>
      </c>
      <c r="AH321" s="155"/>
      <c r="AI321" s="155"/>
      <c r="AK321" s="147"/>
    </row>
    <row r="322" spans="1:37" s="132" customFormat="1">
      <c r="A322" s="142">
        <v>2.5110000000000001</v>
      </c>
      <c r="B322" s="132" t="str">
        <f>Comp!B280</f>
        <v>OFFICER BAGGAGE STRM</v>
      </c>
      <c r="C322" s="143">
        <f t="shared" si="102"/>
        <v>0</v>
      </c>
      <c r="D322" s="143">
        <f t="shared" si="102"/>
        <v>0</v>
      </c>
      <c r="E322" s="143">
        <f t="shared" si="102"/>
        <v>0</v>
      </c>
      <c r="F322" s="143">
        <f t="shared" si="102"/>
        <v>0</v>
      </c>
      <c r="G322" s="410"/>
      <c r="H322" s="410"/>
      <c r="I322" s="410"/>
      <c r="J322" s="410"/>
      <c r="K322" s="410"/>
      <c r="L322" s="410"/>
      <c r="M322" s="410"/>
      <c r="N322" s="410"/>
      <c r="O322" s="410"/>
      <c r="P322" s="143">
        <f t="shared" si="94"/>
        <v>7.8</v>
      </c>
      <c r="Q322" s="143">
        <f t="shared" si="94"/>
        <v>7.8</v>
      </c>
      <c r="S322" s="154">
        <f>SUMIF('Flt III'!D:D,A322,'Flt III'!E:E)/3.2808^2</f>
        <v>0</v>
      </c>
      <c r="T322" s="154">
        <f>SUMIF('Flt IIa'!A:A,A322,'Flt IIa'!E:E)/3.2808^2</f>
        <v>0</v>
      </c>
      <c r="U322" s="154">
        <f>SUMIF('OPC Des'!A:A,A322,'OPC Des'!F:F)/3.2808^2</f>
        <v>0</v>
      </c>
      <c r="V322" s="154">
        <f>SUMIF('LCS 5'!A:A,A322,'LCS 5'!E:E)</f>
        <v>0</v>
      </c>
      <c r="W322" s="154">
        <f>SUMIF('USCG Summary'!$A$25:$A$50,A322,'USCG Summary'!$D$25:$D$50)/3.2808^2</f>
        <v>0</v>
      </c>
      <c r="X322" s="154">
        <f>SUMIF('USCG Summary'!$A$25:$A$50,A322,'USCG Summary'!$I$25:$I$50)/3.2808^2</f>
        <v>0</v>
      </c>
      <c r="Y322" s="154">
        <f>SUMIF('USCG Summary'!$A$25:$A$50,A322,'USCG Summary'!$L$25:$L$50)/3.2808^2</f>
        <v>0</v>
      </c>
      <c r="Z322" s="154">
        <f>SUMIF('USCG Summary'!$A$25:$A$50,A322,'USCG Summary'!$O$25:$O$50)/3.2808^2</f>
        <v>0</v>
      </c>
      <c r="AA322" s="154">
        <f>SUMIF('USCG Summary'!$A$25:$A$50,A322,'USCG Summary'!$P$25:$P$50)/3.2808^2</f>
        <v>0</v>
      </c>
      <c r="AB322" s="154">
        <f>SUMIF('USCG Summary'!$A$25:$A$50,A322,'USCG Summary'!$Q$25:$Q$50)/3.2808^2</f>
        <v>0</v>
      </c>
      <c r="AC322" s="154">
        <f>SUMIF('USCG Summary'!$A$25:$A$50,A322,'USCG Summary'!$T$25:$T$50)/3.2808^2</f>
        <v>0</v>
      </c>
      <c r="AD322" s="154">
        <f>SUMIF('USCG Summary'!$A$25:$A$50,A322,'USCG Summary'!$W$25:$W$50)/3.2808^2</f>
        <v>0</v>
      </c>
      <c r="AE322" s="154">
        <f>SUMIF('USCG Summary'!$A$25:$A$50,A322,'USCG Summary'!$Z$25:$Z$50)/3.2808^2</f>
        <v>0</v>
      </c>
      <c r="AF322" s="154">
        <f>SUMIF(Comp!$A$75:$A$400,Areas!A322,Comp!$F$75:$F$400)</f>
        <v>7.8</v>
      </c>
      <c r="AG322" s="154">
        <f>SUMIF(Comp!$A$75:$A$400,Areas!A322,Comp!$G$75:$G$400)</f>
        <v>7.8</v>
      </c>
      <c r="AH322" s="154"/>
      <c r="AI322" s="154"/>
      <c r="AK322" s="143"/>
    </row>
    <row r="323" spans="1:37" s="132" customFormat="1">
      <c r="A323" s="142">
        <v>2.512</v>
      </c>
      <c r="B323" s="132" t="str">
        <f>Comp!B281</f>
        <v>CPO BAGGAGE STRM</v>
      </c>
      <c r="C323" s="143">
        <f t="shared" si="102"/>
        <v>0</v>
      </c>
      <c r="D323" s="143">
        <f t="shared" si="102"/>
        <v>0</v>
      </c>
      <c r="E323" s="143">
        <f t="shared" si="102"/>
        <v>0</v>
      </c>
      <c r="F323" s="143">
        <f t="shared" si="102"/>
        <v>0</v>
      </c>
      <c r="G323" s="410"/>
      <c r="H323" s="410"/>
      <c r="I323" s="410"/>
      <c r="J323" s="410"/>
      <c r="K323" s="410"/>
      <c r="L323" s="410"/>
      <c r="M323" s="410"/>
      <c r="N323" s="410"/>
      <c r="O323" s="410"/>
      <c r="P323" s="143">
        <f t="shared" si="94"/>
        <v>3.2</v>
      </c>
      <c r="Q323" s="143">
        <f t="shared" si="94"/>
        <v>3.2</v>
      </c>
      <c r="S323" s="154">
        <f>SUMIF('Flt III'!D:D,A323,'Flt III'!E:E)/3.2808^2</f>
        <v>0</v>
      </c>
      <c r="T323" s="154">
        <f>SUMIF('Flt IIa'!A:A,A323,'Flt IIa'!E:E)/3.2808^2</f>
        <v>0</v>
      </c>
      <c r="U323" s="154">
        <f>SUMIF('OPC Des'!A:A,A323,'OPC Des'!F:F)/3.2808^2</f>
        <v>0</v>
      </c>
      <c r="V323" s="154">
        <f>SUMIF('LCS 5'!A:A,A323,'LCS 5'!E:E)</f>
        <v>0</v>
      </c>
      <c r="W323" s="154">
        <f>SUMIF('USCG Summary'!$A$25:$A$50,A323,'USCG Summary'!$D$25:$D$50)/3.2808^2</f>
        <v>0</v>
      </c>
      <c r="X323" s="154">
        <f>SUMIF('USCG Summary'!$A$25:$A$50,A323,'USCG Summary'!$I$25:$I$50)/3.2808^2</f>
        <v>0</v>
      </c>
      <c r="Y323" s="154">
        <f>SUMIF('USCG Summary'!$A$25:$A$50,A323,'USCG Summary'!$L$25:$L$50)/3.2808^2</f>
        <v>0</v>
      </c>
      <c r="Z323" s="154">
        <f>SUMIF('USCG Summary'!$A$25:$A$50,A323,'USCG Summary'!$O$25:$O$50)/3.2808^2</f>
        <v>0</v>
      </c>
      <c r="AA323" s="154">
        <f>SUMIF('USCG Summary'!$A$25:$A$50,A323,'USCG Summary'!$P$25:$P$50)/3.2808^2</f>
        <v>0</v>
      </c>
      <c r="AB323" s="154">
        <f>SUMIF('USCG Summary'!$A$25:$A$50,A323,'USCG Summary'!$Q$25:$Q$50)/3.2808^2</f>
        <v>0</v>
      </c>
      <c r="AC323" s="154">
        <f>SUMIF('USCG Summary'!$A$25:$A$50,A323,'USCG Summary'!$T$25:$T$50)/3.2808^2</f>
        <v>0</v>
      </c>
      <c r="AD323" s="154">
        <f>SUMIF('USCG Summary'!$A$25:$A$50,A323,'USCG Summary'!$W$25:$W$50)/3.2808^2</f>
        <v>0</v>
      </c>
      <c r="AE323" s="154">
        <f>SUMIF('USCG Summary'!$A$25:$A$50,A323,'USCG Summary'!$Z$25:$Z$50)/3.2808^2</f>
        <v>0</v>
      </c>
      <c r="AF323" s="154">
        <f>SUMIF(Comp!$A$75:$A$400,Areas!A323,Comp!$F$75:$F$400)</f>
        <v>3.2</v>
      </c>
      <c r="AG323" s="154">
        <f>SUMIF(Comp!$A$75:$A$400,Areas!A323,Comp!$G$75:$G$400)</f>
        <v>3.2</v>
      </c>
      <c r="AH323" s="154"/>
      <c r="AI323" s="154"/>
      <c r="AK323" s="143"/>
    </row>
    <row r="324" spans="1:37" s="132" customFormat="1">
      <c r="A324" s="142">
        <v>2.5129999999999999</v>
      </c>
      <c r="B324" s="132" t="str">
        <f>Comp!B282</f>
        <v>CREW BAGGAGE STRM</v>
      </c>
      <c r="C324" s="143">
        <f t="shared" si="102"/>
        <v>0</v>
      </c>
      <c r="D324" s="143">
        <f t="shared" si="102"/>
        <v>0</v>
      </c>
      <c r="E324" s="143">
        <f t="shared" si="102"/>
        <v>0</v>
      </c>
      <c r="F324" s="143">
        <f t="shared" si="102"/>
        <v>0</v>
      </c>
      <c r="G324" s="410"/>
      <c r="H324" s="410"/>
      <c r="I324" s="410"/>
      <c r="J324" s="410"/>
      <c r="K324" s="410"/>
      <c r="L324" s="410"/>
      <c r="M324" s="410"/>
      <c r="N324" s="410"/>
      <c r="O324" s="410"/>
      <c r="P324" s="143">
        <f t="shared" si="94"/>
        <v>14.5</v>
      </c>
      <c r="Q324" s="143">
        <f t="shared" si="94"/>
        <v>14.5</v>
      </c>
      <c r="S324" s="154">
        <f>SUMIF('Flt III'!D:D,A324,'Flt III'!E:E)/3.2808^2</f>
        <v>0</v>
      </c>
      <c r="T324" s="154">
        <f>SUMIF('Flt IIa'!A:A,A324,'Flt IIa'!E:E)/3.2808^2</f>
        <v>0</v>
      </c>
      <c r="U324" s="154">
        <f>SUMIF('OPC Des'!A:A,A324,'OPC Des'!F:F)/3.2808^2</f>
        <v>0</v>
      </c>
      <c r="V324" s="154">
        <f>SUMIF('LCS 5'!A:A,A324,'LCS 5'!E:E)</f>
        <v>0</v>
      </c>
      <c r="W324" s="154">
        <f>SUMIF('USCG Summary'!$A$25:$A$50,A324,'USCG Summary'!$D$25:$D$50)/3.2808^2</f>
        <v>0</v>
      </c>
      <c r="X324" s="154">
        <f>SUMIF('USCG Summary'!$A$25:$A$50,A324,'USCG Summary'!$I$25:$I$50)/3.2808^2</f>
        <v>0</v>
      </c>
      <c r="Y324" s="154">
        <f>SUMIF('USCG Summary'!$A$25:$A$50,A324,'USCG Summary'!$L$25:$L$50)/3.2808^2</f>
        <v>0</v>
      </c>
      <c r="Z324" s="154">
        <f>SUMIF('USCG Summary'!$A$25:$A$50,A324,'USCG Summary'!$O$25:$O$50)/3.2808^2</f>
        <v>0</v>
      </c>
      <c r="AA324" s="154">
        <f>SUMIF('USCG Summary'!$A$25:$A$50,A324,'USCG Summary'!$P$25:$P$50)/3.2808^2</f>
        <v>0</v>
      </c>
      <c r="AB324" s="154">
        <f>SUMIF('USCG Summary'!$A$25:$A$50,A324,'USCG Summary'!$Q$25:$Q$50)/3.2808^2</f>
        <v>0</v>
      </c>
      <c r="AC324" s="154">
        <f>SUMIF('USCG Summary'!$A$25:$A$50,A324,'USCG Summary'!$T$25:$T$50)/3.2808^2</f>
        <v>0</v>
      </c>
      <c r="AD324" s="154">
        <f>SUMIF('USCG Summary'!$A$25:$A$50,A324,'USCG Summary'!$W$25:$W$50)/3.2808^2</f>
        <v>0</v>
      </c>
      <c r="AE324" s="154">
        <f>SUMIF('USCG Summary'!$A$25:$A$50,A324,'USCG Summary'!$Z$25:$Z$50)/3.2808^2</f>
        <v>0</v>
      </c>
      <c r="AF324" s="154">
        <f>SUMIF(Comp!$A$75:$A$400,Areas!A324,Comp!$F$75:$F$400)</f>
        <v>14.5</v>
      </c>
      <c r="AG324" s="154">
        <f>SUMIF(Comp!$A$75:$A$400,Areas!A324,Comp!$G$75:$G$400)</f>
        <v>14.5</v>
      </c>
      <c r="AH324" s="154"/>
      <c r="AI324" s="154"/>
      <c r="AK324" s="143"/>
    </row>
    <row r="325" spans="1:37" s="134" customFormat="1">
      <c r="A325" s="140">
        <v>2.52</v>
      </c>
      <c r="B325" s="134" t="str">
        <f>Comp!B283</f>
        <v>MESSROOM STORES</v>
      </c>
      <c r="C325" s="149">
        <f>C326+C327+C329</f>
        <v>1.1148635933177393</v>
      </c>
      <c r="D325" s="149">
        <f>T325</f>
        <v>8.1756663509967549</v>
      </c>
      <c r="E325" s="149">
        <f>U325</f>
        <v>0</v>
      </c>
      <c r="F325" s="149">
        <f>V325</f>
        <v>0</v>
      </c>
      <c r="G325" s="409"/>
      <c r="H325" s="409"/>
      <c r="I325" s="409"/>
      <c r="J325" s="409"/>
      <c r="K325" s="409"/>
      <c r="L325" s="409"/>
      <c r="M325" s="409"/>
      <c r="N325" s="409"/>
      <c r="O325" s="409"/>
      <c r="P325" s="149">
        <f t="shared" si="94"/>
        <v>12.3</v>
      </c>
      <c r="Q325" s="149">
        <f t="shared" si="94"/>
        <v>12.3</v>
      </c>
      <c r="S325" s="153">
        <f>SUMIF('Flt III'!D:D,A325,'Flt III'!E:E)/3.2808^2</f>
        <v>0</v>
      </c>
      <c r="T325" s="153">
        <f>SUMIF('Flt IIa'!A:A,A325,'Flt IIa'!E:E)/3.2808^2</f>
        <v>8.1756663509967549</v>
      </c>
      <c r="U325" s="153">
        <f>SUMIF('OPC Des'!A:A,A325,'OPC Des'!F:F)/3.2808^2</f>
        <v>0</v>
      </c>
      <c r="V325" s="153">
        <f>SUMIF('LCS 5'!A:A,A325,'LCS 5'!E:E)</f>
        <v>0</v>
      </c>
      <c r="W325" s="153">
        <f>SUMIF('USCG Summary'!$A$25:$A$50,A325,'USCG Summary'!$D$25:$D$50)/3.2808^2</f>
        <v>0</v>
      </c>
      <c r="X325" s="153">
        <f>SUMIF('USCG Summary'!$A$25:$A$50,A325,'USCG Summary'!$I$25:$I$50)/3.2808^2</f>
        <v>0</v>
      </c>
      <c r="Y325" s="153">
        <f>SUMIF('USCG Summary'!$A$25:$A$50,A325,'USCG Summary'!$L$25:$L$50)/3.2808^2</f>
        <v>0</v>
      </c>
      <c r="Z325" s="153">
        <f>SUMIF('USCG Summary'!$A$25:$A$50,A325,'USCG Summary'!$O$25:$O$50)/3.2808^2</f>
        <v>0</v>
      </c>
      <c r="AA325" s="153">
        <f>SUMIF('USCG Summary'!$A$25:$A$50,A325,'USCG Summary'!$P$25:$P$50)/3.2808^2</f>
        <v>0</v>
      </c>
      <c r="AB325" s="153">
        <f>SUMIF('USCG Summary'!$A$25:$A$50,A325,'USCG Summary'!$Q$25:$Q$50)/3.2808^2</f>
        <v>0</v>
      </c>
      <c r="AC325" s="153">
        <f>SUMIF('USCG Summary'!$A$25:$A$50,A325,'USCG Summary'!$T$25:$T$50)/3.2808^2</f>
        <v>0</v>
      </c>
      <c r="AD325" s="153">
        <f>SUMIF('USCG Summary'!$A$25:$A$50,A325,'USCG Summary'!$W$25:$W$50)/3.2808^2</f>
        <v>0</v>
      </c>
      <c r="AE325" s="153">
        <f>SUMIF('USCG Summary'!$A$25:$A$50,A325,'USCG Summary'!$Z$25:$Z$50)/3.2808^2</f>
        <v>0</v>
      </c>
      <c r="AF325" s="153">
        <f>SUMIF(Comp!$A$75:$A$400,Areas!A325,Comp!$F$75:$F$400)</f>
        <v>12.3</v>
      </c>
      <c r="AG325" s="153">
        <f>SUMIF(Comp!$A$75:$A$400,Areas!A325,Comp!$G$75:$G$400)</f>
        <v>12.3</v>
      </c>
      <c r="AH325" s="153"/>
      <c r="AI325" s="153"/>
      <c r="AK325" s="133"/>
    </row>
    <row r="326" spans="1:37" s="132" customFormat="1">
      <c r="A326" s="142">
        <v>2.5209999999999999</v>
      </c>
      <c r="B326" s="132" t="str">
        <f>Comp!B284</f>
        <v>WARDROOM STOREROOM</v>
      </c>
      <c r="C326" s="143">
        <f t="shared" ref="C326:F326" si="103">S326</f>
        <v>0</v>
      </c>
      <c r="D326" s="143">
        <f t="shared" si="103"/>
        <v>0</v>
      </c>
      <c r="E326" s="143">
        <f t="shared" si="103"/>
        <v>0</v>
      </c>
      <c r="F326" s="143">
        <f t="shared" si="103"/>
        <v>0</v>
      </c>
      <c r="G326" s="410"/>
      <c r="H326" s="410"/>
      <c r="I326" s="410"/>
      <c r="J326" s="410"/>
      <c r="K326" s="410"/>
      <c r="L326" s="410"/>
      <c r="M326" s="410"/>
      <c r="N326" s="410"/>
      <c r="O326" s="410"/>
      <c r="P326" s="143">
        <f t="shared" si="94"/>
        <v>3.9</v>
      </c>
      <c r="Q326" s="143">
        <f t="shared" si="94"/>
        <v>3.9</v>
      </c>
      <c r="S326" s="154">
        <f>SUMIF('Flt III'!D:D,A326,'Flt III'!E:E)/3.2808^2</f>
        <v>0</v>
      </c>
      <c r="T326" s="154">
        <f>SUMIF('Flt IIa'!A:A,A326,'Flt IIa'!E:E)/3.2808^2</f>
        <v>0</v>
      </c>
      <c r="U326" s="154">
        <f>SUMIF('OPC Des'!A:A,A326,'OPC Des'!F:F)/3.2808^2</f>
        <v>0</v>
      </c>
      <c r="V326" s="154">
        <f>SUMIF('LCS 5'!A:A,A326,'LCS 5'!E:E)</f>
        <v>0</v>
      </c>
      <c r="W326" s="154">
        <f>SUMIF('USCG Summary'!$A$25:$A$50,A326,'USCG Summary'!$D$25:$D$50)/3.2808^2</f>
        <v>0</v>
      </c>
      <c r="X326" s="154">
        <f>SUMIF('USCG Summary'!$A$25:$A$50,A326,'USCG Summary'!$I$25:$I$50)/3.2808^2</f>
        <v>0</v>
      </c>
      <c r="Y326" s="154">
        <f>SUMIF('USCG Summary'!$A$25:$A$50,A326,'USCG Summary'!$L$25:$L$50)/3.2808^2</f>
        <v>0</v>
      </c>
      <c r="Z326" s="154">
        <f>SUMIF('USCG Summary'!$A$25:$A$50,A326,'USCG Summary'!$O$25:$O$50)/3.2808^2</f>
        <v>0</v>
      </c>
      <c r="AA326" s="154">
        <f>SUMIF('USCG Summary'!$A$25:$A$50,A326,'USCG Summary'!$P$25:$P$50)/3.2808^2</f>
        <v>0</v>
      </c>
      <c r="AB326" s="154">
        <f>SUMIF('USCG Summary'!$A$25:$A$50,A326,'USCG Summary'!$Q$25:$Q$50)/3.2808^2</f>
        <v>0</v>
      </c>
      <c r="AC326" s="154">
        <f>SUMIF('USCG Summary'!$A$25:$A$50,A326,'USCG Summary'!$T$25:$T$50)/3.2808^2</f>
        <v>0</v>
      </c>
      <c r="AD326" s="154">
        <f>SUMIF('USCG Summary'!$A$25:$A$50,A326,'USCG Summary'!$W$25:$W$50)/3.2808^2</f>
        <v>0</v>
      </c>
      <c r="AE326" s="154">
        <f>SUMIF('USCG Summary'!$A$25:$A$50,A326,'USCG Summary'!$Z$25:$Z$50)/3.2808^2</f>
        <v>0</v>
      </c>
      <c r="AF326" s="154">
        <f>SUMIF(Comp!$A$75:$A$400,Areas!A326,Comp!$F$75:$F$400)</f>
        <v>3.9</v>
      </c>
      <c r="AG326" s="154">
        <f>SUMIF(Comp!$A$75:$A$400,Areas!A326,Comp!$G$75:$G$400)</f>
        <v>3.9</v>
      </c>
      <c r="AH326" s="154"/>
      <c r="AI326" s="154"/>
      <c r="AK326" s="143"/>
    </row>
    <row r="327" spans="1:37" s="132" customFormat="1">
      <c r="A327" s="142">
        <v>2.5219999999999998</v>
      </c>
      <c r="B327" s="132" t="str">
        <f>Comp!B285</f>
        <v>CPO STOREROOM</v>
      </c>
      <c r="C327" s="143">
        <f>SUM(C328)</f>
        <v>1.1148635933177393</v>
      </c>
      <c r="D327" s="143">
        <f>SUM(D328)</f>
        <v>0</v>
      </c>
      <c r="E327" s="143">
        <f>SUM(E328)</f>
        <v>0</v>
      </c>
      <c r="F327" s="143">
        <f>SUM(F328)</f>
        <v>0</v>
      </c>
      <c r="G327" s="410"/>
      <c r="H327" s="410"/>
      <c r="I327" s="410"/>
      <c r="J327" s="410"/>
      <c r="K327" s="410"/>
      <c r="L327" s="410"/>
      <c r="M327" s="410"/>
      <c r="N327" s="410"/>
      <c r="O327" s="410"/>
      <c r="P327" s="143">
        <f t="shared" si="94"/>
        <v>6.5</v>
      </c>
      <c r="Q327" s="143">
        <f t="shared" si="94"/>
        <v>6.5</v>
      </c>
      <c r="S327" s="154">
        <f>SUMIF('Flt III'!D:D,A327,'Flt III'!E:E)/3.2808^2</f>
        <v>0</v>
      </c>
      <c r="T327" s="154">
        <f>SUMIF('Flt IIa'!A:A,A327,'Flt IIa'!E:E)/3.2808^2</f>
        <v>0</v>
      </c>
      <c r="U327" s="154">
        <f>SUMIF('OPC Des'!A:A,A327,'OPC Des'!F:F)/3.2808^2</f>
        <v>0</v>
      </c>
      <c r="V327" s="154">
        <f>SUMIF('LCS 5'!A:A,A327,'LCS 5'!E:E)</f>
        <v>0</v>
      </c>
      <c r="W327" s="154">
        <f>SUMIF('USCG Summary'!$A$25:$A$50,A327,'USCG Summary'!$D$25:$D$50)/3.2808^2</f>
        <v>0</v>
      </c>
      <c r="X327" s="154">
        <f>SUMIF('USCG Summary'!$A$25:$A$50,A327,'USCG Summary'!$I$25:$I$50)/3.2808^2</f>
        <v>0</v>
      </c>
      <c r="Y327" s="154">
        <f>SUMIF('USCG Summary'!$A$25:$A$50,A327,'USCG Summary'!$L$25:$L$50)/3.2808^2</f>
        <v>0</v>
      </c>
      <c r="Z327" s="154">
        <f>SUMIF('USCG Summary'!$A$25:$A$50,A327,'USCG Summary'!$O$25:$O$50)/3.2808^2</f>
        <v>0</v>
      </c>
      <c r="AA327" s="154">
        <f>SUMIF('USCG Summary'!$A$25:$A$50,A327,'USCG Summary'!$P$25:$P$50)/3.2808^2</f>
        <v>0</v>
      </c>
      <c r="AB327" s="154">
        <f>SUMIF('USCG Summary'!$A$25:$A$50,A327,'USCG Summary'!$Q$25:$Q$50)/3.2808^2</f>
        <v>0</v>
      </c>
      <c r="AC327" s="154">
        <f>SUMIF('USCG Summary'!$A$25:$A$50,A327,'USCG Summary'!$T$25:$T$50)/3.2808^2</f>
        <v>0</v>
      </c>
      <c r="AD327" s="154">
        <f>SUMIF('USCG Summary'!$A$25:$A$50,A327,'USCG Summary'!$W$25:$W$50)/3.2808^2</f>
        <v>0</v>
      </c>
      <c r="AE327" s="154">
        <f>SUMIF('USCG Summary'!$A$25:$A$50,A327,'USCG Summary'!$Z$25:$Z$50)/3.2808^2</f>
        <v>0</v>
      </c>
      <c r="AF327" s="154">
        <f>SUMIF(Comp!$A$75:$A$400,Areas!A327,Comp!$F$75:$F$400)</f>
        <v>6.5</v>
      </c>
      <c r="AG327" s="154">
        <f>SUMIF(Comp!$A$75:$A$400,Areas!A327,Comp!$G$75:$G$400)</f>
        <v>6.5</v>
      </c>
      <c r="AH327" s="154"/>
      <c r="AI327" s="154"/>
      <c r="AK327" s="143"/>
    </row>
    <row r="328" spans="1:37" s="148" customFormat="1">
      <c r="A328" s="146" t="s">
        <v>1018</v>
      </c>
      <c r="C328" s="147">
        <f t="shared" ref="C328:F329" si="104">S328</f>
        <v>1.1148635933177393</v>
      </c>
      <c r="D328" s="147">
        <f t="shared" si="104"/>
        <v>0</v>
      </c>
      <c r="E328" s="147">
        <f t="shared" si="104"/>
        <v>0</v>
      </c>
      <c r="F328" s="147">
        <f t="shared" si="104"/>
        <v>0</v>
      </c>
      <c r="G328" s="411"/>
      <c r="H328" s="411"/>
      <c r="I328" s="411"/>
      <c r="J328" s="411"/>
      <c r="K328" s="411"/>
      <c r="L328" s="411"/>
      <c r="M328" s="411"/>
      <c r="N328" s="411"/>
      <c r="O328" s="411"/>
      <c r="P328" s="147">
        <f t="shared" si="94"/>
        <v>0</v>
      </c>
      <c r="Q328" s="147">
        <f t="shared" si="94"/>
        <v>0</v>
      </c>
      <c r="S328" s="155">
        <f>SUMIF('Flt III'!D:D,A328,'Flt III'!E:E)/3.2808^2</f>
        <v>1.1148635933177393</v>
      </c>
      <c r="T328" s="155">
        <f>SUMIF('Flt IIa'!A:A,A328,'Flt IIa'!E:E)/3.2808^2</f>
        <v>0</v>
      </c>
      <c r="U328" s="155">
        <f>SUMIF('OPC Des'!A:A,A328,'OPC Des'!F:F)/3.2808^2</f>
        <v>0</v>
      </c>
      <c r="V328" s="155">
        <f>SUMIF('LCS 5'!A:A,A328,'LCS 5'!E:E)</f>
        <v>0</v>
      </c>
      <c r="W328" s="155">
        <f>SUMIF('USCG Summary'!$A$25:$A$50,A328,'USCG Summary'!$D$25:$D$50)/3.2808^2</f>
        <v>0</v>
      </c>
      <c r="X328" s="155">
        <f>SUMIF('USCG Summary'!$A$25:$A$50,A328,'USCG Summary'!$I$25:$I$50)/3.2808^2</f>
        <v>0</v>
      </c>
      <c r="Y328" s="155">
        <f>SUMIF('USCG Summary'!$A$25:$A$50,A328,'USCG Summary'!$L$25:$L$50)/3.2808^2</f>
        <v>0</v>
      </c>
      <c r="Z328" s="155">
        <f>SUMIF('USCG Summary'!$A$25:$A$50,A328,'USCG Summary'!$O$25:$O$50)/3.2808^2</f>
        <v>0</v>
      </c>
      <c r="AA328" s="155">
        <f>SUMIF('USCG Summary'!$A$25:$A$50,A328,'USCG Summary'!$P$25:$P$50)/3.2808^2</f>
        <v>0</v>
      </c>
      <c r="AB328" s="155">
        <f>SUMIF('USCG Summary'!$A$25:$A$50,A328,'USCG Summary'!$Q$25:$Q$50)/3.2808^2</f>
        <v>0</v>
      </c>
      <c r="AC328" s="155">
        <f>SUMIF('USCG Summary'!$A$25:$A$50,A328,'USCG Summary'!$T$25:$T$50)/3.2808^2</f>
        <v>0</v>
      </c>
      <c r="AD328" s="155">
        <f>SUMIF('USCG Summary'!$A$25:$A$50,A328,'USCG Summary'!$W$25:$W$50)/3.2808^2</f>
        <v>0</v>
      </c>
      <c r="AE328" s="155">
        <f>SUMIF('USCG Summary'!$A$25:$A$50,A328,'USCG Summary'!$Z$25:$Z$50)/3.2808^2</f>
        <v>0</v>
      </c>
      <c r="AF328" s="155">
        <f>SUMIF(Comp!$A$75:$A$400,Areas!A328,Comp!$F$75:$F$400)</f>
        <v>0</v>
      </c>
      <c r="AG328" s="155">
        <f>SUMIF(Comp!$A$75:$A$400,Areas!A328,Comp!$G$75:$G$400)</f>
        <v>0</v>
      </c>
      <c r="AH328" s="155"/>
      <c r="AI328" s="155"/>
      <c r="AK328" s="147"/>
    </row>
    <row r="329" spans="1:37" s="132" customFormat="1">
      <c r="A329" s="142">
        <v>2.5230000000000001</v>
      </c>
      <c r="B329" s="132" t="str">
        <f>Comp!B286</f>
        <v>COMMANDING OFFICER STRM</v>
      </c>
      <c r="C329" s="143">
        <f t="shared" si="104"/>
        <v>0</v>
      </c>
      <c r="D329" s="143">
        <f t="shared" si="104"/>
        <v>0</v>
      </c>
      <c r="E329" s="143">
        <f t="shared" si="104"/>
        <v>0</v>
      </c>
      <c r="F329" s="143">
        <f t="shared" si="104"/>
        <v>0</v>
      </c>
      <c r="G329" s="410"/>
      <c r="H329" s="410"/>
      <c r="I329" s="410"/>
      <c r="J329" s="410"/>
      <c r="K329" s="410"/>
      <c r="L329" s="410"/>
      <c r="M329" s="410"/>
      <c r="N329" s="410"/>
      <c r="O329" s="410"/>
      <c r="P329" s="143">
        <f t="shared" si="94"/>
        <v>1.9</v>
      </c>
      <c r="Q329" s="143">
        <f t="shared" si="94"/>
        <v>1.9</v>
      </c>
      <c r="S329" s="154">
        <f>SUMIF('Flt III'!D:D,A329,'Flt III'!E:E)/3.2808^2</f>
        <v>0</v>
      </c>
      <c r="T329" s="154">
        <f>SUMIF('Flt IIa'!A:A,A329,'Flt IIa'!E:E)/3.2808^2</f>
        <v>0</v>
      </c>
      <c r="U329" s="154">
        <f>SUMIF('OPC Des'!A:A,A329,'OPC Des'!F:F)/3.2808^2</f>
        <v>0</v>
      </c>
      <c r="V329" s="154">
        <f>SUMIF('LCS 5'!A:A,A329,'LCS 5'!E:E)</f>
        <v>0</v>
      </c>
      <c r="W329" s="154">
        <f>SUMIF('USCG Summary'!$A$25:$A$50,A329,'USCG Summary'!$D$25:$D$50)/3.2808^2</f>
        <v>0</v>
      </c>
      <c r="X329" s="154">
        <f>SUMIF('USCG Summary'!$A$25:$A$50,A329,'USCG Summary'!$I$25:$I$50)/3.2808^2</f>
        <v>0</v>
      </c>
      <c r="Y329" s="154">
        <f>SUMIF('USCG Summary'!$A$25:$A$50,A329,'USCG Summary'!$L$25:$L$50)/3.2808^2</f>
        <v>0</v>
      </c>
      <c r="Z329" s="154">
        <f>SUMIF('USCG Summary'!$A$25:$A$50,A329,'USCG Summary'!$O$25:$O$50)/3.2808^2</f>
        <v>0</v>
      </c>
      <c r="AA329" s="154">
        <f>SUMIF('USCG Summary'!$A$25:$A$50,A329,'USCG Summary'!$P$25:$P$50)/3.2808^2</f>
        <v>0</v>
      </c>
      <c r="AB329" s="154">
        <f>SUMIF('USCG Summary'!$A$25:$A$50,A329,'USCG Summary'!$Q$25:$Q$50)/3.2808^2</f>
        <v>0</v>
      </c>
      <c r="AC329" s="154">
        <f>SUMIF('USCG Summary'!$A$25:$A$50,A329,'USCG Summary'!$T$25:$T$50)/3.2808^2</f>
        <v>0</v>
      </c>
      <c r="AD329" s="154">
        <f>SUMIF('USCG Summary'!$A$25:$A$50,A329,'USCG Summary'!$W$25:$W$50)/3.2808^2</f>
        <v>0</v>
      </c>
      <c r="AE329" s="154">
        <f>SUMIF('USCG Summary'!$A$25:$A$50,A329,'USCG Summary'!$Z$25:$Z$50)/3.2808^2</f>
        <v>0</v>
      </c>
      <c r="AF329" s="154">
        <f>SUMIF(Comp!$A$75:$A$400,Areas!A329,Comp!$F$75:$F$400)</f>
        <v>1.9</v>
      </c>
      <c r="AG329" s="154">
        <f>SUMIF(Comp!$A$75:$A$400,Areas!A329,Comp!$G$75:$G$400)</f>
        <v>1.9</v>
      </c>
      <c r="AH329" s="154"/>
      <c r="AI329" s="154"/>
      <c r="AK329" s="143"/>
    </row>
    <row r="330" spans="1:37" s="134" customFormat="1">
      <c r="A330" s="140">
        <v>2.5499999999999998</v>
      </c>
      <c r="B330" s="134" t="str">
        <f>Comp!B287</f>
        <v>FOUL WEATHER GEAR</v>
      </c>
      <c r="C330" s="149">
        <f>C331+C332</f>
        <v>7.2466133565653061</v>
      </c>
      <c r="D330" s="149">
        <f>T330</f>
        <v>12.263499526495133</v>
      </c>
      <c r="E330" s="149">
        <f>E331+E332</f>
        <v>3.809117277168943</v>
      </c>
      <c r="F330" s="149">
        <f>F331+F332</f>
        <v>0</v>
      </c>
      <c r="G330" s="409"/>
      <c r="H330" s="409"/>
      <c r="I330" s="409"/>
      <c r="J330" s="409"/>
      <c r="K330" s="409"/>
      <c r="L330" s="409"/>
      <c r="M330" s="409"/>
      <c r="N330" s="409"/>
      <c r="O330" s="409"/>
      <c r="P330" s="149">
        <f t="shared" si="94"/>
        <v>2.9</v>
      </c>
      <c r="Q330" s="149">
        <f t="shared" si="94"/>
        <v>2.9</v>
      </c>
      <c r="S330" s="153">
        <f>SUMIF('Flt III'!D:D,A330,'Flt III'!E:E)/3.2808^2</f>
        <v>0</v>
      </c>
      <c r="T330" s="153">
        <f>SUMIF('Flt IIa'!A:A,A330,'Flt IIa'!E:E)/3.2808^2</f>
        <v>12.263499526495133</v>
      </c>
      <c r="U330" s="153">
        <f>SUMIF('OPC Des'!A:A,A330,'OPC Des'!F:F)/3.2808^2</f>
        <v>0</v>
      </c>
      <c r="V330" s="153">
        <f>SUMIF('LCS 5'!A:A,A330,'LCS 5'!E:E)</f>
        <v>0</v>
      </c>
      <c r="W330" s="153">
        <f>SUMIF('USCG Summary'!$A$25:$A$50,A330,'USCG Summary'!$D$25:$D$50)/3.2808^2</f>
        <v>0</v>
      </c>
      <c r="X330" s="153">
        <f>SUMIF('USCG Summary'!$A$25:$A$50,A330,'USCG Summary'!$I$25:$I$50)/3.2808^2</f>
        <v>0</v>
      </c>
      <c r="Y330" s="153">
        <f>SUMIF('USCG Summary'!$A$25:$A$50,A330,'USCG Summary'!$L$25:$L$50)/3.2808^2</f>
        <v>0</v>
      </c>
      <c r="Z330" s="153">
        <f>SUMIF('USCG Summary'!$A$25:$A$50,A330,'USCG Summary'!$O$25:$O$50)/3.2808^2</f>
        <v>0</v>
      </c>
      <c r="AA330" s="153">
        <f>SUMIF('USCG Summary'!$A$25:$A$50,A330,'USCG Summary'!$P$25:$P$50)/3.2808^2</f>
        <v>0</v>
      </c>
      <c r="AB330" s="153">
        <f>SUMIF('USCG Summary'!$A$25:$A$50,A330,'USCG Summary'!$Q$25:$Q$50)/3.2808^2</f>
        <v>0</v>
      </c>
      <c r="AC330" s="153">
        <f>SUMIF('USCG Summary'!$A$25:$A$50,A330,'USCG Summary'!$T$25:$T$50)/3.2808^2</f>
        <v>0</v>
      </c>
      <c r="AD330" s="153">
        <f>SUMIF('USCG Summary'!$A$25:$A$50,A330,'USCG Summary'!$W$25:$W$50)/3.2808^2</f>
        <v>0</v>
      </c>
      <c r="AE330" s="153">
        <f>SUMIF('USCG Summary'!$A$25:$A$50,A330,'USCG Summary'!$Z$25:$Z$50)/3.2808^2</f>
        <v>0</v>
      </c>
      <c r="AF330" s="153">
        <f>SUMIF(Comp!$A$75:$A$400,Areas!A330,Comp!$F$75:$F$400)</f>
        <v>2.9</v>
      </c>
      <c r="AG330" s="153">
        <f>SUMIF(Comp!$A$75:$A$400,Areas!A330,Comp!$G$75:$G$400)</f>
        <v>2.9</v>
      </c>
      <c r="AH330" s="153"/>
      <c r="AI330" s="153"/>
      <c r="AK330" s="133"/>
    </row>
    <row r="331" spans="1:37" s="148" customFormat="1">
      <c r="A331" s="146" t="s">
        <v>1014</v>
      </c>
      <c r="C331" s="147">
        <f t="shared" ref="C331:F332" si="105">S331</f>
        <v>7.2466133565653061</v>
      </c>
      <c r="D331" s="147">
        <f t="shared" si="105"/>
        <v>0</v>
      </c>
      <c r="E331" s="147">
        <f t="shared" si="105"/>
        <v>3.809117277168943</v>
      </c>
      <c r="F331" s="147">
        <f t="shared" si="105"/>
        <v>0</v>
      </c>
      <c r="G331" s="411"/>
      <c r="H331" s="411"/>
      <c r="I331" s="411"/>
      <c r="J331" s="411"/>
      <c r="K331" s="411"/>
      <c r="L331" s="411"/>
      <c r="M331" s="411"/>
      <c r="N331" s="411"/>
      <c r="O331" s="411"/>
      <c r="P331" s="147">
        <f t="shared" si="94"/>
        <v>0</v>
      </c>
      <c r="Q331" s="147">
        <f t="shared" si="94"/>
        <v>0</v>
      </c>
      <c r="S331" s="155">
        <f>SUMIF('Flt III'!D:D,A331,'Flt III'!E:E)/3.2808^2</f>
        <v>7.2466133565653061</v>
      </c>
      <c r="T331" s="155">
        <f>SUMIF('Flt IIa'!A:A,A331,'Flt IIa'!E:E)/3.2808^2</f>
        <v>0</v>
      </c>
      <c r="U331" s="155">
        <f>SUMIF('OPC Des'!A:A,A331,'OPC Des'!F:F)/3.2808^2</f>
        <v>3.809117277168943</v>
      </c>
      <c r="V331" s="155">
        <f>SUMIF('LCS 5'!A:A,A331,'LCS 5'!E:E)</f>
        <v>0</v>
      </c>
      <c r="W331" s="155">
        <f>SUMIF('USCG Summary'!$A$25:$A$50,A331,'USCG Summary'!$D$25:$D$50)/3.2808^2</f>
        <v>0</v>
      </c>
      <c r="X331" s="155">
        <f>SUMIF('USCG Summary'!$A$25:$A$50,A331,'USCG Summary'!$I$25:$I$50)/3.2808^2</f>
        <v>0</v>
      </c>
      <c r="Y331" s="155">
        <f>SUMIF('USCG Summary'!$A$25:$A$50,A331,'USCG Summary'!$L$25:$L$50)/3.2808^2</f>
        <v>0</v>
      </c>
      <c r="Z331" s="155">
        <f>SUMIF('USCG Summary'!$A$25:$A$50,A331,'USCG Summary'!$O$25:$O$50)/3.2808^2</f>
        <v>0</v>
      </c>
      <c r="AA331" s="155">
        <f>SUMIF('USCG Summary'!$A$25:$A$50,A331,'USCG Summary'!$P$25:$P$50)/3.2808^2</f>
        <v>0</v>
      </c>
      <c r="AB331" s="155">
        <f>SUMIF('USCG Summary'!$A$25:$A$50,A331,'USCG Summary'!$Q$25:$Q$50)/3.2808^2</f>
        <v>0</v>
      </c>
      <c r="AC331" s="155">
        <f>SUMIF('USCG Summary'!$A$25:$A$50,A331,'USCG Summary'!$T$25:$T$50)/3.2808^2</f>
        <v>0</v>
      </c>
      <c r="AD331" s="155">
        <f>SUMIF('USCG Summary'!$A$25:$A$50,A331,'USCG Summary'!$W$25:$W$50)/3.2808^2</f>
        <v>0</v>
      </c>
      <c r="AE331" s="155">
        <f>SUMIF('USCG Summary'!$A$25:$A$50,A331,'USCG Summary'!$Z$25:$Z$50)/3.2808^2</f>
        <v>0</v>
      </c>
      <c r="AF331" s="155">
        <f>SUMIF(Comp!$A$75:$A$400,Areas!A331,Comp!$F$75:$F$400)</f>
        <v>0</v>
      </c>
      <c r="AG331" s="155">
        <f>SUMIF(Comp!$A$75:$A$400,Areas!A331,Comp!$G$75:$G$400)</f>
        <v>0</v>
      </c>
      <c r="AH331" s="155"/>
      <c r="AI331" s="155"/>
      <c r="AK331" s="147"/>
    </row>
    <row r="332" spans="1:37" s="132" customFormat="1">
      <c r="A332" s="142">
        <v>2.5510000000000002</v>
      </c>
      <c r="B332" s="132" t="str">
        <f>Comp!B288</f>
        <v>FOUL WEATHER GEAR LOCKER</v>
      </c>
      <c r="C332" s="143">
        <f t="shared" si="105"/>
        <v>0</v>
      </c>
      <c r="D332" s="143">
        <f t="shared" si="105"/>
        <v>0</v>
      </c>
      <c r="E332" s="143">
        <f t="shared" si="105"/>
        <v>0</v>
      </c>
      <c r="F332" s="143">
        <f t="shared" si="105"/>
        <v>0</v>
      </c>
      <c r="G332" s="410"/>
      <c r="H332" s="410"/>
      <c r="I332" s="410"/>
      <c r="J332" s="410"/>
      <c r="K332" s="410"/>
      <c r="L332" s="410"/>
      <c r="M332" s="410"/>
      <c r="N332" s="410"/>
      <c r="O332" s="410"/>
      <c r="P332" s="143">
        <f t="shared" si="94"/>
        <v>2.9</v>
      </c>
      <c r="Q332" s="143">
        <f t="shared" si="94"/>
        <v>2.9</v>
      </c>
      <c r="S332" s="154">
        <f>SUMIF('Flt III'!D:D,A332,'Flt III'!E:E)/3.2808^2</f>
        <v>0</v>
      </c>
      <c r="T332" s="154">
        <f>SUMIF('Flt IIa'!A:A,A332,'Flt IIa'!E:E)/3.2808^2</f>
        <v>0</v>
      </c>
      <c r="U332" s="154">
        <f>SUMIF('OPC Des'!A:A,A332,'OPC Des'!F:F)/3.2808^2</f>
        <v>0</v>
      </c>
      <c r="V332" s="154">
        <f>SUMIF('LCS 5'!A:A,A332,'LCS 5'!E:E)</f>
        <v>0</v>
      </c>
      <c r="W332" s="154">
        <f>SUMIF('USCG Summary'!$A$25:$A$50,A332,'USCG Summary'!$D$25:$D$50)/3.2808^2</f>
        <v>0</v>
      </c>
      <c r="X332" s="154">
        <f>SUMIF('USCG Summary'!$A$25:$A$50,A332,'USCG Summary'!$I$25:$I$50)/3.2808^2</f>
        <v>0</v>
      </c>
      <c r="Y332" s="154">
        <f>SUMIF('USCG Summary'!$A$25:$A$50,A332,'USCG Summary'!$L$25:$L$50)/3.2808^2</f>
        <v>0</v>
      </c>
      <c r="Z332" s="154">
        <f>SUMIF('USCG Summary'!$A$25:$A$50,A332,'USCG Summary'!$O$25:$O$50)/3.2808^2</f>
        <v>0</v>
      </c>
      <c r="AA332" s="154">
        <f>SUMIF('USCG Summary'!$A$25:$A$50,A332,'USCG Summary'!$P$25:$P$50)/3.2808^2</f>
        <v>0</v>
      </c>
      <c r="AB332" s="154">
        <f>SUMIF('USCG Summary'!$A$25:$A$50,A332,'USCG Summary'!$Q$25:$Q$50)/3.2808^2</f>
        <v>0</v>
      </c>
      <c r="AC332" s="154">
        <f>SUMIF('USCG Summary'!$A$25:$A$50,A332,'USCG Summary'!$T$25:$T$50)/3.2808^2</f>
        <v>0</v>
      </c>
      <c r="AD332" s="154">
        <f>SUMIF('USCG Summary'!$A$25:$A$50,A332,'USCG Summary'!$W$25:$W$50)/3.2808^2</f>
        <v>0</v>
      </c>
      <c r="AE332" s="154">
        <f>SUMIF('USCG Summary'!$A$25:$A$50,A332,'USCG Summary'!$Z$25:$Z$50)/3.2808^2</f>
        <v>0</v>
      </c>
      <c r="AF332" s="154">
        <f>SUMIF(Comp!$A$75:$A$400,Areas!A332,Comp!$F$75:$F$400)</f>
        <v>2.9</v>
      </c>
      <c r="AG332" s="154">
        <f>SUMIF(Comp!$A$75:$A$400,Areas!A332,Comp!$G$75:$G$400)</f>
        <v>2.9</v>
      </c>
      <c r="AH332" s="154"/>
      <c r="AI332" s="154"/>
      <c r="AK332" s="143"/>
    </row>
    <row r="333" spans="1:37" s="134" customFormat="1">
      <c r="A333" s="140">
        <v>2.56</v>
      </c>
      <c r="B333" s="134" t="str">
        <f>Comp!B289</f>
        <v>LINEN STOWAGE</v>
      </c>
      <c r="C333" s="149">
        <f>C334</f>
        <v>1.1148635933177393</v>
      </c>
      <c r="D333" s="149">
        <f>D334</f>
        <v>0</v>
      </c>
      <c r="E333" s="149">
        <f>E334</f>
        <v>2.4155377855217686</v>
      </c>
      <c r="F333" s="149">
        <f>F334</f>
        <v>0</v>
      </c>
      <c r="G333" s="409"/>
      <c r="H333" s="409"/>
      <c r="I333" s="409"/>
      <c r="J333" s="409"/>
      <c r="K333" s="409"/>
      <c r="L333" s="409"/>
      <c r="M333" s="409"/>
      <c r="N333" s="409"/>
      <c r="O333" s="409"/>
      <c r="P333" s="149">
        <f t="shared" si="94"/>
        <v>2.7</v>
      </c>
      <c r="Q333" s="149">
        <f t="shared" si="94"/>
        <v>2.7</v>
      </c>
      <c r="S333" s="153">
        <f>SUMIF('Flt III'!D:D,A333,'Flt III'!E:E)/3.2808^2</f>
        <v>0</v>
      </c>
      <c r="T333" s="153">
        <f>SUMIF('Flt IIa'!A:A,A333,'Flt IIa'!E:E)/3.2808^2</f>
        <v>3.0658748816237833</v>
      </c>
      <c r="U333" s="153">
        <f>SUMIF('OPC Des'!A:A,A333,'OPC Des'!F:F)/3.2808^2</f>
        <v>0</v>
      </c>
      <c r="V333" s="153">
        <f>SUMIF('LCS 5'!A:A,A333,'LCS 5'!E:E)</f>
        <v>0</v>
      </c>
      <c r="W333" s="153">
        <f>SUMIF('USCG Summary'!$A$25:$A$50,A333,'USCG Summary'!$D$25:$D$50)/3.2808^2</f>
        <v>0</v>
      </c>
      <c r="X333" s="153">
        <f>SUMIF('USCG Summary'!$A$25:$A$50,A333,'USCG Summary'!$I$25:$I$50)/3.2808^2</f>
        <v>0</v>
      </c>
      <c r="Y333" s="153">
        <f>SUMIF('USCG Summary'!$A$25:$A$50,A333,'USCG Summary'!$L$25:$L$50)/3.2808^2</f>
        <v>0</v>
      </c>
      <c r="Z333" s="153">
        <f>SUMIF('USCG Summary'!$A$25:$A$50,A333,'USCG Summary'!$O$25:$O$50)/3.2808^2</f>
        <v>0</v>
      </c>
      <c r="AA333" s="153">
        <f>SUMIF('USCG Summary'!$A$25:$A$50,A333,'USCG Summary'!$P$25:$P$50)/3.2808^2</f>
        <v>0</v>
      </c>
      <c r="AB333" s="153">
        <f>SUMIF('USCG Summary'!$A$25:$A$50,A333,'USCG Summary'!$Q$25:$Q$50)/3.2808^2</f>
        <v>0</v>
      </c>
      <c r="AC333" s="153">
        <f>SUMIF('USCG Summary'!$A$25:$A$50,A333,'USCG Summary'!$T$25:$T$50)/3.2808^2</f>
        <v>0</v>
      </c>
      <c r="AD333" s="153">
        <f>SUMIF('USCG Summary'!$A$25:$A$50,A333,'USCG Summary'!$W$25:$W$50)/3.2808^2</f>
        <v>0</v>
      </c>
      <c r="AE333" s="153">
        <f>SUMIF('USCG Summary'!$A$25:$A$50,A333,'USCG Summary'!$Z$25:$Z$50)/3.2808^2</f>
        <v>0</v>
      </c>
      <c r="AF333" s="153">
        <f>SUMIF(Comp!$A$75:$A$400,Areas!A333,Comp!$F$75:$F$400)</f>
        <v>2.7</v>
      </c>
      <c r="AG333" s="153">
        <f>SUMIF(Comp!$A$75:$A$400,Areas!A333,Comp!$G$75:$G$400)</f>
        <v>2.7</v>
      </c>
      <c r="AH333" s="153"/>
      <c r="AI333" s="153"/>
      <c r="AK333" s="133"/>
    </row>
    <row r="334" spans="1:37" s="148" customFormat="1">
      <c r="A334" s="146" t="s">
        <v>1011</v>
      </c>
      <c r="C334" s="147">
        <f t="shared" ref="C334:F334" si="106">S334</f>
        <v>1.1148635933177393</v>
      </c>
      <c r="D334" s="147">
        <f t="shared" si="106"/>
        <v>0</v>
      </c>
      <c r="E334" s="147">
        <f t="shared" si="106"/>
        <v>2.4155377855217686</v>
      </c>
      <c r="F334" s="147">
        <f t="shared" si="106"/>
        <v>0</v>
      </c>
      <c r="G334" s="411"/>
      <c r="H334" s="411"/>
      <c r="I334" s="411"/>
      <c r="J334" s="411"/>
      <c r="K334" s="411"/>
      <c r="L334" s="411"/>
      <c r="M334" s="411"/>
      <c r="N334" s="411"/>
      <c r="O334" s="411"/>
      <c r="P334" s="147">
        <f t="shared" si="94"/>
        <v>0</v>
      </c>
      <c r="Q334" s="147">
        <f t="shared" si="94"/>
        <v>0</v>
      </c>
      <c r="S334" s="155">
        <f>SUMIF('Flt III'!D:D,A334,'Flt III'!E:E)/3.2808^2</f>
        <v>1.1148635933177393</v>
      </c>
      <c r="T334" s="155">
        <f>SUMIF('Flt IIa'!A:A,A334,'Flt IIa'!E:E)/3.2808^2</f>
        <v>0</v>
      </c>
      <c r="U334" s="155">
        <f>SUMIF('OPC Des'!A:A,A334,'OPC Des'!F:F)/3.2808^2</f>
        <v>2.4155377855217686</v>
      </c>
      <c r="V334" s="155">
        <f>SUMIF('LCS 5'!A:A,A334,'LCS 5'!E:E)</f>
        <v>0</v>
      </c>
      <c r="W334" s="155">
        <f>SUMIF('USCG Summary'!$A$25:$A$50,A334,'USCG Summary'!$D$25:$D$50)/3.2808^2</f>
        <v>0</v>
      </c>
      <c r="X334" s="155">
        <f>SUMIF('USCG Summary'!$A$25:$A$50,A334,'USCG Summary'!$I$25:$I$50)/3.2808^2</f>
        <v>0</v>
      </c>
      <c r="Y334" s="155">
        <f>SUMIF('USCG Summary'!$A$25:$A$50,A334,'USCG Summary'!$L$25:$L$50)/3.2808^2</f>
        <v>0</v>
      </c>
      <c r="Z334" s="155">
        <f>SUMIF('USCG Summary'!$A$25:$A$50,A334,'USCG Summary'!$O$25:$O$50)/3.2808^2</f>
        <v>0</v>
      </c>
      <c r="AA334" s="155">
        <f>SUMIF('USCG Summary'!$A$25:$A$50,A334,'USCG Summary'!$P$25:$P$50)/3.2808^2</f>
        <v>0</v>
      </c>
      <c r="AB334" s="155">
        <f>SUMIF('USCG Summary'!$A$25:$A$50,A334,'USCG Summary'!$Q$25:$Q$50)/3.2808^2</f>
        <v>0</v>
      </c>
      <c r="AC334" s="155">
        <f>SUMIF('USCG Summary'!$A$25:$A$50,A334,'USCG Summary'!$T$25:$T$50)/3.2808^2</f>
        <v>0</v>
      </c>
      <c r="AD334" s="155">
        <f>SUMIF('USCG Summary'!$A$25:$A$50,A334,'USCG Summary'!$W$25:$W$50)/3.2808^2</f>
        <v>0</v>
      </c>
      <c r="AE334" s="155">
        <f>SUMIF('USCG Summary'!$A$25:$A$50,A334,'USCG Summary'!$Z$25:$Z$50)/3.2808^2</f>
        <v>0</v>
      </c>
      <c r="AF334" s="155">
        <f>SUMIF(Comp!$A$75:$A$400,Areas!A334,Comp!$F$75:$F$400)</f>
        <v>0</v>
      </c>
      <c r="AG334" s="155">
        <f>SUMIF(Comp!$A$75:$A$400,Areas!A334,Comp!$G$75:$G$400)</f>
        <v>0</v>
      </c>
      <c r="AH334" s="155"/>
      <c r="AI334" s="155"/>
      <c r="AK334" s="147"/>
    </row>
    <row r="335" spans="1:37" s="134" customFormat="1">
      <c r="A335" s="140">
        <v>2.57</v>
      </c>
      <c r="B335" s="134" t="str">
        <f>Comp!B290</f>
        <v>FOLDING CHAIR STOREROOM</v>
      </c>
      <c r="C335" s="149">
        <f>S335</f>
        <v>0</v>
      </c>
      <c r="D335" s="149">
        <f>T335</f>
        <v>0</v>
      </c>
      <c r="E335" s="149">
        <f>U335</f>
        <v>0</v>
      </c>
      <c r="F335" s="149">
        <f>V335</f>
        <v>0</v>
      </c>
      <c r="G335" s="409"/>
      <c r="H335" s="409"/>
      <c r="I335" s="409"/>
      <c r="J335" s="409"/>
      <c r="K335" s="409"/>
      <c r="L335" s="409"/>
      <c r="M335" s="409"/>
      <c r="N335" s="409"/>
      <c r="O335" s="409"/>
      <c r="P335" s="149">
        <f t="shared" si="94"/>
        <v>2.2000000000000002</v>
      </c>
      <c r="Q335" s="149">
        <f t="shared" si="94"/>
        <v>2.2000000000000002</v>
      </c>
      <c r="S335" s="153">
        <f>SUMIF('Flt III'!D:D,A335,'Flt III'!E:E)/3.2808^2</f>
        <v>0</v>
      </c>
      <c r="T335" s="153">
        <f>SUMIF('Flt IIa'!A:A,A335,'Flt IIa'!E:E)/3.2808^2</f>
        <v>0</v>
      </c>
      <c r="U335" s="153">
        <f>SUMIF('OPC Des'!A:A,A335,'OPC Des'!F:F)/3.2808^2</f>
        <v>0</v>
      </c>
      <c r="V335" s="153">
        <f>SUMIF('LCS 5'!A:A,A335,'LCS 5'!E:E)</f>
        <v>0</v>
      </c>
      <c r="W335" s="153">
        <f>SUMIF('USCG Summary'!$A$25:$A$50,A335,'USCG Summary'!$D$25:$D$50)/3.2808^2</f>
        <v>0</v>
      </c>
      <c r="X335" s="153">
        <f>SUMIF('USCG Summary'!$A$25:$A$50,A335,'USCG Summary'!$I$25:$I$50)/3.2808^2</f>
        <v>0</v>
      </c>
      <c r="Y335" s="153">
        <f>SUMIF('USCG Summary'!$A$25:$A$50,A335,'USCG Summary'!$L$25:$L$50)/3.2808^2</f>
        <v>0</v>
      </c>
      <c r="Z335" s="153">
        <f>SUMIF('USCG Summary'!$A$25:$A$50,A335,'USCG Summary'!$O$25:$O$50)/3.2808^2</f>
        <v>0</v>
      </c>
      <c r="AA335" s="153">
        <f>SUMIF('USCG Summary'!$A$25:$A$50,A335,'USCG Summary'!$P$25:$P$50)/3.2808^2</f>
        <v>0</v>
      </c>
      <c r="AB335" s="153">
        <f>SUMIF('USCG Summary'!$A$25:$A$50,A335,'USCG Summary'!$Q$25:$Q$50)/3.2808^2</f>
        <v>0</v>
      </c>
      <c r="AC335" s="153">
        <f>SUMIF('USCG Summary'!$A$25:$A$50,A335,'USCG Summary'!$T$25:$T$50)/3.2808^2</f>
        <v>0</v>
      </c>
      <c r="AD335" s="153">
        <f>SUMIF('USCG Summary'!$A$25:$A$50,A335,'USCG Summary'!$W$25:$W$50)/3.2808^2</f>
        <v>0</v>
      </c>
      <c r="AE335" s="153">
        <f>SUMIF('USCG Summary'!$A$25:$A$50,A335,'USCG Summary'!$Z$25:$Z$50)/3.2808^2</f>
        <v>0</v>
      </c>
      <c r="AF335" s="153">
        <f>SUMIF(Comp!$A$75:$A$400,Areas!A335,Comp!$F$75:$F$400)</f>
        <v>2.2000000000000002</v>
      </c>
      <c r="AG335" s="153">
        <f>SUMIF(Comp!$A$75:$A$400,Areas!A335,Comp!$G$75:$G$400)</f>
        <v>2.2000000000000002</v>
      </c>
      <c r="AH335" s="153"/>
      <c r="AI335" s="153"/>
      <c r="AK335" s="133"/>
    </row>
    <row r="336" spans="1:37" s="139" customFormat="1">
      <c r="A336" s="137">
        <v>2.6</v>
      </c>
      <c r="B336" s="139" t="str">
        <f>Comp!B291</f>
        <v>CBR PROTECTION</v>
      </c>
      <c r="C336" s="150">
        <f>C337+C343+C347</f>
        <v>112.41541232620537</v>
      </c>
      <c r="D336" s="150">
        <f>D337+D343+D347</f>
        <v>111.95088582898967</v>
      </c>
      <c r="E336" s="150">
        <f>E337+E343+E347</f>
        <v>15.700995605891496</v>
      </c>
      <c r="F336" s="150">
        <f>F337+F343+F347</f>
        <v>36.08</v>
      </c>
      <c r="G336" s="406">
        <f>W336</f>
        <v>0</v>
      </c>
      <c r="H336" s="406">
        <f t="shared" ref="H336:O336" si="107">X336</f>
        <v>0</v>
      </c>
      <c r="I336" s="406">
        <f t="shared" si="107"/>
        <v>0</v>
      </c>
      <c r="J336" s="406">
        <f t="shared" si="107"/>
        <v>0</v>
      </c>
      <c r="K336" s="406">
        <f t="shared" si="107"/>
        <v>0</v>
      </c>
      <c r="L336" s="406">
        <f t="shared" si="107"/>
        <v>0</v>
      </c>
      <c r="M336" s="406">
        <f t="shared" si="107"/>
        <v>0</v>
      </c>
      <c r="N336" s="406">
        <f t="shared" si="107"/>
        <v>0</v>
      </c>
      <c r="O336" s="406">
        <f t="shared" si="107"/>
        <v>0</v>
      </c>
      <c r="P336" s="150">
        <f t="shared" si="94"/>
        <v>102.9</v>
      </c>
      <c r="Q336" s="150">
        <f t="shared" si="94"/>
        <v>103.7</v>
      </c>
      <c r="S336" s="152">
        <f>SUMIF('Flt III'!D:D,A336,'Flt III'!E:E)/3.2808^2</f>
        <v>0</v>
      </c>
      <c r="T336" s="152">
        <f>SUMIF('Flt IIa'!A:A,A336,'Flt IIa'!E:E)/3.2808^2</f>
        <v>0</v>
      </c>
      <c r="U336" s="152">
        <f>SUMIF('OPC Des'!A:A,A336,'OPC Des'!F:F)/3.2808^2</f>
        <v>0</v>
      </c>
      <c r="V336" s="152">
        <f>SUMIF('LCS 5'!A:A,A336,'LCS 5'!E:E)</f>
        <v>0</v>
      </c>
      <c r="W336" s="152">
        <f>SUMIF('USCG Summary'!$A$25:$A$50,A336,'USCG Summary'!$D$25:$D$50)/3.2808^2</f>
        <v>0</v>
      </c>
      <c r="X336" s="152">
        <f>SUMIF('USCG Summary'!$A$25:$A$50,A336,'USCG Summary'!$I$25:$I$50)/3.2808^2</f>
        <v>0</v>
      </c>
      <c r="Y336" s="152">
        <f>SUMIF('USCG Summary'!$A$25:$A$50,A336,'USCG Summary'!$L$25:$L$50)/3.2808^2</f>
        <v>0</v>
      </c>
      <c r="Z336" s="152">
        <f>SUMIF('USCG Summary'!$A$25:$A$50,A336,'USCG Summary'!$O$25:$O$50)/3.2808^2</f>
        <v>0</v>
      </c>
      <c r="AA336" s="152">
        <f>SUMIF('USCG Summary'!$A$25:$A$50,A336,'USCG Summary'!$P$25:$P$50)/3.2808^2</f>
        <v>0</v>
      </c>
      <c r="AB336" s="152">
        <f>SUMIF('USCG Summary'!$A$25:$A$50,A336,'USCG Summary'!$Q$25:$Q$50)/3.2808^2</f>
        <v>0</v>
      </c>
      <c r="AC336" s="152">
        <f>SUMIF('USCG Summary'!$A$25:$A$50,A336,'USCG Summary'!$T$25:$T$50)/3.2808^2</f>
        <v>0</v>
      </c>
      <c r="AD336" s="152">
        <f>SUMIF('USCG Summary'!$A$25:$A$50,A336,'USCG Summary'!$W$25:$W$50)/3.2808^2</f>
        <v>0</v>
      </c>
      <c r="AE336" s="152">
        <f>SUMIF('USCG Summary'!$A$25:$A$50,A336,'USCG Summary'!$Z$25:$Z$50)/3.2808^2</f>
        <v>0</v>
      </c>
      <c r="AF336" s="152">
        <f>SUMIF(Comp!$A$75:$A$400,Areas!A336,Comp!$F$75:$F$400)</f>
        <v>102.9</v>
      </c>
      <c r="AG336" s="152">
        <f>SUMIF(Comp!$A$75:$A$400,Areas!A336,Comp!$G$75:$G$400)</f>
        <v>103.7</v>
      </c>
      <c r="AH336" s="152"/>
      <c r="AI336" s="152"/>
      <c r="AK336" s="138"/>
    </row>
    <row r="337" spans="1:37" s="134" customFormat="1">
      <c r="A337" s="140">
        <v>2.61</v>
      </c>
      <c r="B337" s="134" t="str">
        <f>Comp!B292</f>
        <v>CBR DECON STATIONS</v>
      </c>
      <c r="C337" s="149">
        <f>SUM(C338:C342)</f>
        <v>23.133419561343093</v>
      </c>
      <c r="D337" s="149">
        <f>T337</f>
        <v>23.969567256331395</v>
      </c>
      <c r="E337" s="149">
        <f>U337</f>
        <v>0</v>
      </c>
      <c r="F337" s="149">
        <f>SUM(F338:F342)</f>
        <v>12.350000000000001</v>
      </c>
      <c r="G337" s="409"/>
      <c r="H337" s="409"/>
      <c r="I337" s="409"/>
      <c r="J337" s="409"/>
      <c r="K337" s="409"/>
      <c r="L337" s="409"/>
      <c r="M337" s="409"/>
      <c r="N337" s="409"/>
      <c r="O337" s="409"/>
      <c r="P337" s="149">
        <f t="shared" si="94"/>
        <v>27.2</v>
      </c>
      <c r="Q337" s="149">
        <f t="shared" si="94"/>
        <v>27.2</v>
      </c>
      <c r="S337" s="153">
        <f>SUMIF('Flt III'!D:D,A337,'Flt III'!E:E)/3.2808^2</f>
        <v>0</v>
      </c>
      <c r="T337" s="153">
        <f>SUMIF('Flt IIa'!A:A,A337,'Flt IIa'!E:E)/3.2808^2</f>
        <v>23.969567256331395</v>
      </c>
      <c r="U337" s="153">
        <f>SUMIF('OPC Des'!A:A,A337,'OPC Des'!F:F)/3.2808^2</f>
        <v>0</v>
      </c>
      <c r="V337" s="153">
        <f>SUMIF('LCS 5'!A:A,A337,'LCS 5'!E:E)</f>
        <v>0</v>
      </c>
      <c r="W337" s="153">
        <f>SUMIF('USCG Summary'!$A$25:$A$50,A337,'USCG Summary'!$D$25:$D$50)/3.2808^2</f>
        <v>0</v>
      </c>
      <c r="X337" s="153">
        <f>SUMIF('USCG Summary'!$A$25:$A$50,A337,'USCG Summary'!$I$25:$I$50)/3.2808^2</f>
        <v>0</v>
      </c>
      <c r="Y337" s="153">
        <f>SUMIF('USCG Summary'!$A$25:$A$50,A337,'USCG Summary'!$L$25:$L$50)/3.2808^2</f>
        <v>0</v>
      </c>
      <c r="Z337" s="153">
        <f>SUMIF('USCG Summary'!$A$25:$A$50,A337,'USCG Summary'!$O$25:$O$50)/3.2808^2</f>
        <v>0</v>
      </c>
      <c r="AA337" s="153">
        <f>SUMIF('USCG Summary'!$A$25:$A$50,A337,'USCG Summary'!$P$25:$P$50)/3.2808^2</f>
        <v>0</v>
      </c>
      <c r="AB337" s="153">
        <f>SUMIF('USCG Summary'!$A$25:$A$50,A337,'USCG Summary'!$Q$25:$Q$50)/3.2808^2</f>
        <v>0</v>
      </c>
      <c r="AC337" s="153">
        <f>SUMIF('USCG Summary'!$A$25:$A$50,A337,'USCG Summary'!$T$25:$T$50)/3.2808^2</f>
        <v>0</v>
      </c>
      <c r="AD337" s="153">
        <f>SUMIF('USCG Summary'!$A$25:$A$50,A337,'USCG Summary'!$W$25:$W$50)/3.2808^2</f>
        <v>0</v>
      </c>
      <c r="AE337" s="153">
        <f>SUMIF('USCG Summary'!$A$25:$A$50,A337,'USCG Summary'!$Z$25:$Z$50)/3.2808^2</f>
        <v>0</v>
      </c>
      <c r="AF337" s="153">
        <f>SUMIF(Comp!$A$75:$A$400,Areas!A337,Comp!$F$75:$F$400)</f>
        <v>27.2</v>
      </c>
      <c r="AG337" s="153">
        <f>SUMIF(Comp!$A$75:$A$400,Areas!A337,Comp!$G$75:$G$400)</f>
        <v>27.2</v>
      </c>
      <c r="AH337" s="153"/>
      <c r="AI337" s="153"/>
      <c r="AK337" s="133"/>
    </row>
    <row r="338" spans="1:37" s="148" customFormat="1">
      <c r="A338" s="146" t="s">
        <v>1007</v>
      </c>
      <c r="C338" s="147">
        <f t="shared" ref="C338:F342" si="108">S338</f>
        <v>4.4594543732709573</v>
      </c>
      <c r="D338" s="147">
        <f t="shared" si="108"/>
        <v>0</v>
      </c>
      <c r="E338" s="147">
        <f t="shared" si="108"/>
        <v>0</v>
      </c>
      <c r="F338" s="147">
        <f t="shared" si="108"/>
        <v>0</v>
      </c>
      <c r="G338" s="411"/>
      <c r="H338" s="411"/>
      <c r="I338" s="411"/>
      <c r="J338" s="411"/>
      <c r="K338" s="411"/>
      <c r="L338" s="411"/>
      <c r="M338" s="411"/>
      <c r="N338" s="411"/>
      <c r="O338" s="411"/>
      <c r="P338" s="147">
        <f t="shared" si="94"/>
        <v>0</v>
      </c>
      <c r="Q338" s="147">
        <f t="shared" si="94"/>
        <v>0</v>
      </c>
      <c r="S338" s="155">
        <f>SUMIF('Flt III'!D:D,A338,'Flt III'!E:E)/3.2808^2</f>
        <v>4.4594543732709573</v>
      </c>
      <c r="T338" s="155">
        <f>SUMIF('Flt IIa'!A:A,A338,'Flt IIa'!E:E)/3.2808^2</f>
        <v>0</v>
      </c>
      <c r="U338" s="155">
        <f>SUMIF('OPC Des'!A:A,A338,'OPC Des'!F:F)/3.2808^2</f>
        <v>0</v>
      </c>
      <c r="V338" s="155">
        <f>SUMIF('LCS 5'!A:A,A338,'LCS 5'!E:E)</f>
        <v>0</v>
      </c>
      <c r="W338" s="155">
        <f>SUMIF('USCG Summary'!$A$25:$A$50,A338,'USCG Summary'!$D$25:$D$50)/3.2808^2</f>
        <v>0</v>
      </c>
      <c r="X338" s="155">
        <f>SUMIF('USCG Summary'!$A$25:$A$50,A338,'USCG Summary'!$I$25:$I$50)/3.2808^2</f>
        <v>0</v>
      </c>
      <c r="Y338" s="155">
        <f>SUMIF('USCG Summary'!$A$25:$A$50,A338,'USCG Summary'!$L$25:$L$50)/3.2808^2</f>
        <v>0</v>
      </c>
      <c r="Z338" s="155">
        <f>SUMIF('USCG Summary'!$A$25:$A$50,A338,'USCG Summary'!$O$25:$O$50)/3.2808^2</f>
        <v>0</v>
      </c>
      <c r="AA338" s="155">
        <f>SUMIF('USCG Summary'!$A$25:$A$50,A338,'USCG Summary'!$P$25:$P$50)/3.2808^2</f>
        <v>0</v>
      </c>
      <c r="AB338" s="155">
        <f>SUMIF('USCG Summary'!$A$25:$A$50,A338,'USCG Summary'!$Q$25:$Q$50)/3.2808^2</f>
        <v>0</v>
      </c>
      <c r="AC338" s="155">
        <f>SUMIF('USCG Summary'!$A$25:$A$50,A338,'USCG Summary'!$T$25:$T$50)/3.2808^2</f>
        <v>0</v>
      </c>
      <c r="AD338" s="155">
        <f>SUMIF('USCG Summary'!$A$25:$A$50,A338,'USCG Summary'!$W$25:$W$50)/3.2808^2</f>
        <v>0</v>
      </c>
      <c r="AE338" s="155">
        <f>SUMIF('USCG Summary'!$A$25:$A$50,A338,'USCG Summary'!$Z$25:$Z$50)/3.2808^2</f>
        <v>0</v>
      </c>
      <c r="AF338" s="155">
        <f>SUMIF(Comp!$A$75:$A$400,Areas!A338,Comp!$F$75:$F$400)</f>
        <v>0</v>
      </c>
      <c r="AG338" s="155">
        <f>SUMIF(Comp!$A$75:$A$400,Areas!A338,Comp!$G$75:$G$400)</f>
        <v>0</v>
      </c>
      <c r="AH338" s="155"/>
      <c r="AI338" s="155"/>
      <c r="AK338" s="147"/>
    </row>
    <row r="339" spans="1:37" s="148" customFormat="1">
      <c r="A339" s="146" t="s">
        <v>1004</v>
      </c>
      <c r="C339" s="147">
        <f t="shared" si="108"/>
        <v>4.7381702716003922</v>
      </c>
      <c r="D339" s="147">
        <f t="shared" si="108"/>
        <v>0</v>
      </c>
      <c r="E339" s="147">
        <f t="shared" si="108"/>
        <v>0</v>
      </c>
      <c r="F339" s="147">
        <f t="shared" si="108"/>
        <v>4.1500000000000004</v>
      </c>
      <c r="G339" s="411"/>
      <c r="H339" s="411"/>
      <c r="I339" s="411"/>
      <c r="J339" s="411"/>
      <c r="K339" s="411"/>
      <c r="L339" s="411"/>
      <c r="M339" s="411"/>
      <c r="N339" s="411"/>
      <c r="O339" s="411"/>
      <c r="P339" s="147">
        <f t="shared" si="94"/>
        <v>0</v>
      </c>
      <c r="Q339" s="147">
        <f t="shared" si="94"/>
        <v>0</v>
      </c>
      <c r="S339" s="155">
        <f>SUMIF('Flt III'!D:D,A339,'Flt III'!E:E)/3.2808^2</f>
        <v>4.7381702716003922</v>
      </c>
      <c r="T339" s="155">
        <f>SUMIF('Flt IIa'!A:A,A339,'Flt IIa'!E:E)/3.2808^2</f>
        <v>0</v>
      </c>
      <c r="U339" s="155">
        <f>SUMIF('OPC Des'!A:A,A339,'OPC Des'!F:F)/3.2808^2</f>
        <v>0</v>
      </c>
      <c r="V339" s="155">
        <f>SUMIF('LCS 5'!A:A,A339,'LCS 5'!E:E)</f>
        <v>4.1500000000000004</v>
      </c>
      <c r="W339" s="155">
        <f>SUMIF('USCG Summary'!$A$25:$A$50,A339,'USCG Summary'!$D$25:$D$50)/3.2808^2</f>
        <v>0</v>
      </c>
      <c r="X339" s="155">
        <f>SUMIF('USCG Summary'!$A$25:$A$50,A339,'USCG Summary'!$I$25:$I$50)/3.2808^2</f>
        <v>0</v>
      </c>
      <c r="Y339" s="155">
        <f>SUMIF('USCG Summary'!$A$25:$A$50,A339,'USCG Summary'!$L$25:$L$50)/3.2808^2</f>
        <v>0</v>
      </c>
      <c r="Z339" s="155">
        <f>SUMIF('USCG Summary'!$A$25:$A$50,A339,'USCG Summary'!$O$25:$O$50)/3.2808^2</f>
        <v>0</v>
      </c>
      <c r="AA339" s="155">
        <f>SUMIF('USCG Summary'!$A$25:$A$50,A339,'USCG Summary'!$P$25:$P$50)/3.2808^2</f>
        <v>0</v>
      </c>
      <c r="AB339" s="155">
        <f>SUMIF('USCG Summary'!$A$25:$A$50,A339,'USCG Summary'!$Q$25:$Q$50)/3.2808^2</f>
        <v>0</v>
      </c>
      <c r="AC339" s="155">
        <f>SUMIF('USCG Summary'!$A$25:$A$50,A339,'USCG Summary'!$T$25:$T$50)/3.2808^2</f>
        <v>0</v>
      </c>
      <c r="AD339" s="155">
        <f>SUMIF('USCG Summary'!$A$25:$A$50,A339,'USCG Summary'!$W$25:$W$50)/3.2808^2</f>
        <v>0</v>
      </c>
      <c r="AE339" s="155">
        <f>SUMIF('USCG Summary'!$A$25:$A$50,A339,'USCG Summary'!$Z$25:$Z$50)/3.2808^2</f>
        <v>0</v>
      </c>
      <c r="AF339" s="155">
        <f>SUMIF(Comp!$A$75:$A$400,Areas!A339,Comp!$F$75:$F$400)</f>
        <v>0</v>
      </c>
      <c r="AG339" s="155">
        <f>SUMIF(Comp!$A$75:$A$400,Areas!A339,Comp!$G$75:$G$400)</f>
        <v>0</v>
      </c>
      <c r="AH339" s="155"/>
      <c r="AI339" s="155"/>
      <c r="AK339" s="147"/>
    </row>
    <row r="340" spans="1:37" s="148" customFormat="1">
      <c r="A340" s="146" t="s">
        <v>999</v>
      </c>
      <c r="C340" s="147">
        <f t="shared" si="108"/>
        <v>7.618234554337886</v>
      </c>
      <c r="D340" s="147">
        <f t="shared" si="108"/>
        <v>0</v>
      </c>
      <c r="E340" s="147">
        <f t="shared" si="108"/>
        <v>0</v>
      </c>
      <c r="F340" s="147">
        <f t="shared" si="108"/>
        <v>4.38</v>
      </c>
      <c r="G340" s="411"/>
      <c r="H340" s="411"/>
      <c r="I340" s="411"/>
      <c r="J340" s="411"/>
      <c r="K340" s="411"/>
      <c r="L340" s="411"/>
      <c r="M340" s="411"/>
      <c r="N340" s="411"/>
      <c r="O340" s="411"/>
      <c r="P340" s="147">
        <f t="shared" si="94"/>
        <v>0</v>
      </c>
      <c r="Q340" s="147">
        <f t="shared" si="94"/>
        <v>0</v>
      </c>
      <c r="S340" s="155">
        <f>SUMIF('Flt III'!D:D,A340,'Flt III'!E:E)/3.2808^2</f>
        <v>7.618234554337886</v>
      </c>
      <c r="T340" s="155">
        <f>SUMIF('Flt IIa'!A:A,A340,'Flt IIa'!E:E)/3.2808^2</f>
        <v>0</v>
      </c>
      <c r="U340" s="155">
        <f>SUMIF('OPC Des'!A:A,A340,'OPC Des'!F:F)/3.2808^2</f>
        <v>0</v>
      </c>
      <c r="V340" s="155">
        <f>SUMIF('LCS 5'!A:A,A340,'LCS 5'!E:E)</f>
        <v>4.38</v>
      </c>
      <c r="W340" s="155">
        <f>SUMIF('USCG Summary'!$A$25:$A$50,A340,'USCG Summary'!$D$25:$D$50)/3.2808^2</f>
        <v>0</v>
      </c>
      <c r="X340" s="155">
        <f>SUMIF('USCG Summary'!$A$25:$A$50,A340,'USCG Summary'!$I$25:$I$50)/3.2808^2</f>
        <v>0</v>
      </c>
      <c r="Y340" s="155">
        <f>SUMIF('USCG Summary'!$A$25:$A$50,A340,'USCG Summary'!$L$25:$L$50)/3.2808^2</f>
        <v>0</v>
      </c>
      <c r="Z340" s="155">
        <f>SUMIF('USCG Summary'!$A$25:$A$50,A340,'USCG Summary'!$O$25:$O$50)/3.2808^2</f>
        <v>0</v>
      </c>
      <c r="AA340" s="155">
        <f>SUMIF('USCG Summary'!$A$25:$A$50,A340,'USCG Summary'!$P$25:$P$50)/3.2808^2</f>
        <v>0</v>
      </c>
      <c r="AB340" s="155">
        <f>SUMIF('USCG Summary'!$A$25:$A$50,A340,'USCG Summary'!$Q$25:$Q$50)/3.2808^2</f>
        <v>0</v>
      </c>
      <c r="AC340" s="155">
        <f>SUMIF('USCG Summary'!$A$25:$A$50,A340,'USCG Summary'!$T$25:$T$50)/3.2808^2</f>
        <v>0</v>
      </c>
      <c r="AD340" s="155">
        <f>SUMIF('USCG Summary'!$A$25:$A$50,A340,'USCG Summary'!$W$25:$W$50)/3.2808^2</f>
        <v>0</v>
      </c>
      <c r="AE340" s="155">
        <f>SUMIF('USCG Summary'!$A$25:$A$50,A340,'USCG Summary'!$Z$25:$Z$50)/3.2808^2</f>
        <v>0</v>
      </c>
      <c r="AF340" s="155">
        <f>SUMIF(Comp!$A$75:$A$400,Areas!A340,Comp!$F$75:$F$400)</f>
        <v>0</v>
      </c>
      <c r="AG340" s="155">
        <f>SUMIF(Comp!$A$75:$A$400,Areas!A340,Comp!$G$75:$G$400)</f>
        <v>0</v>
      </c>
      <c r="AH340" s="155"/>
      <c r="AI340" s="155"/>
      <c r="AK340" s="147"/>
    </row>
    <row r="341" spans="1:37" s="148" customFormat="1">
      <c r="A341" s="146" t="s">
        <v>994</v>
      </c>
      <c r="C341" s="147">
        <f t="shared" si="108"/>
        <v>2.9729695821806383</v>
      </c>
      <c r="D341" s="147">
        <f t="shared" si="108"/>
        <v>0</v>
      </c>
      <c r="E341" s="147">
        <f t="shared" si="108"/>
        <v>0</v>
      </c>
      <c r="F341" s="147">
        <f t="shared" si="108"/>
        <v>1.93</v>
      </c>
      <c r="G341" s="411"/>
      <c r="H341" s="411"/>
      <c r="I341" s="411"/>
      <c r="J341" s="411"/>
      <c r="K341" s="411"/>
      <c r="L341" s="411"/>
      <c r="M341" s="411"/>
      <c r="N341" s="411"/>
      <c r="O341" s="411"/>
      <c r="P341" s="147">
        <f t="shared" si="94"/>
        <v>0</v>
      </c>
      <c r="Q341" s="147">
        <f t="shared" si="94"/>
        <v>0</v>
      </c>
      <c r="S341" s="155">
        <f>SUMIF('Flt III'!D:D,A341,'Flt III'!E:E)/3.2808^2</f>
        <v>2.9729695821806383</v>
      </c>
      <c r="T341" s="155">
        <f>SUMIF('Flt IIa'!A:A,A341,'Flt IIa'!E:E)/3.2808^2</f>
        <v>0</v>
      </c>
      <c r="U341" s="155">
        <f>SUMIF('OPC Des'!A:A,A341,'OPC Des'!F:F)/3.2808^2</f>
        <v>0</v>
      </c>
      <c r="V341" s="155">
        <f>SUMIF('LCS 5'!A:A,A341,'LCS 5'!E:E)</f>
        <v>1.93</v>
      </c>
      <c r="W341" s="155">
        <f>SUMIF('USCG Summary'!$A$25:$A$50,A341,'USCG Summary'!$D$25:$D$50)/3.2808^2</f>
        <v>0</v>
      </c>
      <c r="X341" s="155">
        <f>SUMIF('USCG Summary'!$A$25:$A$50,A341,'USCG Summary'!$I$25:$I$50)/3.2808^2</f>
        <v>0</v>
      </c>
      <c r="Y341" s="155">
        <f>SUMIF('USCG Summary'!$A$25:$A$50,A341,'USCG Summary'!$L$25:$L$50)/3.2808^2</f>
        <v>0</v>
      </c>
      <c r="Z341" s="155">
        <f>SUMIF('USCG Summary'!$A$25:$A$50,A341,'USCG Summary'!$O$25:$O$50)/3.2808^2</f>
        <v>0</v>
      </c>
      <c r="AA341" s="155">
        <f>SUMIF('USCG Summary'!$A$25:$A$50,A341,'USCG Summary'!$P$25:$P$50)/3.2808^2</f>
        <v>0</v>
      </c>
      <c r="AB341" s="155">
        <f>SUMIF('USCG Summary'!$A$25:$A$50,A341,'USCG Summary'!$Q$25:$Q$50)/3.2808^2</f>
        <v>0</v>
      </c>
      <c r="AC341" s="155">
        <f>SUMIF('USCG Summary'!$A$25:$A$50,A341,'USCG Summary'!$T$25:$T$50)/3.2808^2</f>
        <v>0</v>
      </c>
      <c r="AD341" s="155">
        <f>SUMIF('USCG Summary'!$A$25:$A$50,A341,'USCG Summary'!$W$25:$W$50)/3.2808^2</f>
        <v>0</v>
      </c>
      <c r="AE341" s="155">
        <f>SUMIF('USCG Summary'!$A$25:$A$50,A341,'USCG Summary'!$Z$25:$Z$50)/3.2808^2</f>
        <v>0</v>
      </c>
      <c r="AF341" s="155">
        <f>SUMIF(Comp!$A$75:$A$400,Areas!A341,Comp!$F$75:$F$400)</f>
        <v>0</v>
      </c>
      <c r="AG341" s="155">
        <f>SUMIF(Comp!$A$75:$A$400,Areas!A341,Comp!$G$75:$G$400)</f>
        <v>0</v>
      </c>
      <c r="AH341" s="155"/>
      <c r="AI341" s="155"/>
      <c r="AK341" s="147"/>
    </row>
    <row r="342" spans="1:37" s="148" customFormat="1">
      <c r="A342" s="146" t="s">
        <v>989</v>
      </c>
      <c r="C342" s="147">
        <f t="shared" si="108"/>
        <v>3.3445907799532182</v>
      </c>
      <c r="D342" s="147">
        <f t="shared" si="108"/>
        <v>0</v>
      </c>
      <c r="E342" s="147">
        <f t="shared" si="108"/>
        <v>0</v>
      </c>
      <c r="F342" s="147">
        <f t="shared" si="108"/>
        <v>1.89</v>
      </c>
      <c r="G342" s="411"/>
      <c r="H342" s="411"/>
      <c r="I342" s="411"/>
      <c r="J342" s="411"/>
      <c r="K342" s="411"/>
      <c r="L342" s="411"/>
      <c r="M342" s="411"/>
      <c r="N342" s="411"/>
      <c r="O342" s="411"/>
      <c r="P342" s="147">
        <f t="shared" si="94"/>
        <v>0</v>
      </c>
      <c r="Q342" s="147">
        <f t="shared" si="94"/>
        <v>0</v>
      </c>
      <c r="S342" s="155">
        <f>SUMIF('Flt III'!D:D,A342,'Flt III'!E:E)/3.2808^2</f>
        <v>3.3445907799532182</v>
      </c>
      <c r="T342" s="155">
        <f>SUMIF('Flt IIa'!A:A,A342,'Flt IIa'!E:E)/3.2808^2</f>
        <v>0</v>
      </c>
      <c r="U342" s="155">
        <f>SUMIF('OPC Des'!A:A,A342,'OPC Des'!F:F)/3.2808^2</f>
        <v>0</v>
      </c>
      <c r="V342" s="155">
        <f>SUMIF('LCS 5'!A:A,A342,'LCS 5'!E:E)</f>
        <v>1.89</v>
      </c>
      <c r="W342" s="155">
        <f>SUMIF('USCG Summary'!$A$25:$A$50,A342,'USCG Summary'!$D$25:$D$50)/3.2808^2</f>
        <v>0</v>
      </c>
      <c r="X342" s="155">
        <f>SUMIF('USCG Summary'!$A$25:$A$50,A342,'USCG Summary'!$I$25:$I$50)/3.2808^2</f>
        <v>0</v>
      </c>
      <c r="Y342" s="155">
        <f>SUMIF('USCG Summary'!$A$25:$A$50,A342,'USCG Summary'!$L$25:$L$50)/3.2808^2</f>
        <v>0</v>
      </c>
      <c r="Z342" s="155">
        <f>SUMIF('USCG Summary'!$A$25:$A$50,A342,'USCG Summary'!$O$25:$O$50)/3.2808^2</f>
        <v>0</v>
      </c>
      <c r="AA342" s="155">
        <f>SUMIF('USCG Summary'!$A$25:$A$50,A342,'USCG Summary'!$P$25:$P$50)/3.2808^2</f>
        <v>0</v>
      </c>
      <c r="AB342" s="155">
        <f>SUMIF('USCG Summary'!$A$25:$A$50,A342,'USCG Summary'!$Q$25:$Q$50)/3.2808^2</f>
        <v>0</v>
      </c>
      <c r="AC342" s="155">
        <f>SUMIF('USCG Summary'!$A$25:$A$50,A342,'USCG Summary'!$T$25:$T$50)/3.2808^2</f>
        <v>0</v>
      </c>
      <c r="AD342" s="155">
        <f>SUMIF('USCG Summary'!$A$25:$A$50,A342,'USCG Summary'!$W$25:$W$50)/3.2808^2</f>
        <v>0</v>
      </c>
      <c r="AE342" s="155">
        <f>SUMIF('USCG Summary'!$A$25:$A$50,A342,'USCG Summary'!$Z$25:$Z$50)/3.2808^2</f>
        <v>0</v>
      </c>
      <c r="AF342" s="155">
        <f>SUMIF(Comp!$A$75:$A$400,Areas!A342,Comp!$F$75:$F$400)</f>
        <v>0</v>
      </c>
      <c r="AG342" s="155">
        <f>SUMIF(Comp!$A$75:$A$400,Areas!A342,Comp!$G$75:$G$400)</f>
        <v>0</v>
      </c>
      <c r="AH342" s="155"/>
      <c r="AI342" s="155"/>
      <c r="AK342" s="147"/>
    </row>
    <row r="343" spans="1:37" s="134" customFormat="1">
      <c r="A343" s="140">
        <v>2.62</v>
      </c>
      <c r="B343" s="134" t="str">
        <f>Comp!B293</f>
        <v>CBR DEFENSE EQUIPMENT</v>
      </c>
      <c r="C343" s="149">
        <f>SUM(C344:C345)+C346</f>
        <v>55.185747869228095</v>
      </c>
      <c r="D343" s="149">
        <f>T343</f>
        <v>55.185747869228102</v>
      </c>
      <c r="E343" s="149">
        <f>SUM(E344:E345)+E346</f>
        <v>15.700995605891496</v>
      </c>
      <c r="F343" s="149">
        <f>SUM(F344:F345)+F346</f>
        <v>13.73</v>
      </c>
      <c r="G343" s="409"/>
      <c r="H343" s="409"/>
      <c r="I343" s="409"/>
      <c r="J343" s="409"/>
      <c r="K343" s="409"/>
      <c r="L343" s="409"/>
      <c r="M343" s="409"/>
      <c r="N343" s="409"/>
      <c r="O343" s="409"/>
      <c r="P343" s="149">
        <f t="shared" si="94"/>
        <v>36.4</v>
      </c>
      <c r="Q343" s="149">
        <f t="shared" si="94"/>
        <v>36.4</v>
      </c>
      <c r="S343" s="153">
        <f>SUMIF('Flt III'!D:D,A343,'Flt III'!E:E)/3.2808^2</f>
        <v>0</v>
      </c>
      <c r="T343" s="153">
        <f>SUMIF('Flt IIa'!A:A,A343,'Flt IIa'!E:E)/3.2808^2</f>
        <v>55.185747869228102</v>
      </c>
      <c r="U343" s="153">
        <f>SUMIF('OPC Des'!A:A,A343,'OPC Des'!F:F)/3.2808^2</f>
        <v>0</v>
      </c>
      <c r="V343" s="153">
        <f>SUMIF('LCS 5'!A:A,A343,'LCS 5'!E:E)</f>
        <v>0</v>
      </c>
      <c r="W343" s="153">
        <f>SUMIF('USCG Summary'!$A$25:$A$50,A343,'USCG Summary'!$D$25:$D$50)/3.2808^2</f>
        <v>0</v>
      </c>
      <c r="X343" s="153">
        <f>SUMIF('USCG Summary'!$A$25:$A$50,A343,'USCG Summary'!$I$25:$I$50)/3.2808^2</f>
        <v>0</v>
      </c>
      <c r="Y343" s="153">
        <f>SUMIF('USCG Summary'!$A$25:$A$50,A343,'USCG Summary'!$L$25:$L$50)/3.2808^2</f>
        <v>0</v>
      </c>
      <c r="Z343" s="153">
        <f>SUMIF('USCG Summary'!$A$25:$A$50,A343,'USCG Summary'!$O$25:$O$50)/3.2808^2</f>
        <v>0</v>
      </c>
      <c r="AA343" s="153">
        <f>SUMIF('USCG Summary'!$A$25:$A$50,A343,'USCG Summary'!$P$25:$P$50)/3.2808^2</f>
        <v>0</v>
      </c>
      <c r="AB343" s="153">
        <f>SUMIF('USCG Summary'!$A$25:$A$50,A343,'USCG Summary'!$Q$25:$Q$50)/3.2808^2</f>
        <v>0</v>
      </c>
      <c r="AC343" s="153">
        <f>SUMIF('USCG Summary'!$A$25:$A$50,A343,'USCG Summary'!$T$25:$T$50)/3.2808^2</f>
        <v>0</v>
      </c>
      <c r="AD343" s="153">
        <f>SUMIF('USCG Summary'!$A$25:$A$50,A343,'USCG Summary'!$W$25:$W$50)/3.2808^2</f>
        <v>0</v>
      </c>
      <c r="AE343" s="153">
        <f>SUMIF('USCG Summary'!$A$25:$A$50,A343,'USCG Summary'!$Z$25:$Z$50)/3.2808^2</f>
        <v>0</v>
      </c>
      <c r="AF343" s="153">
        <f>SUMIF(Comp!$A$75:$A$400,Areas!A343,Comp!$F$75:$F$400)</f>
        <v>36.4</v>
      </c>
      <c r="AG343" s="153">
        <f>SUMIF(Comp!$A$75:$A$400,Areas!A343,Comp!$G$75:$G$400)</f>
        <v>36.4</v>
      </c>
      <c r="AH343" s="153"/>
      <c r="AI343" s="153"/>
      <c r="AK343" s="133"/>
    </row>
    <row r="344" spans="1:37" s="148" customFormat="1">
      <c r="A344" s="146" t="s">
        <v>986</v>
      </c>
      <c r="C344" s="147">
        <f t="shared" ref="C344:F346" si="109">S344</f>
        <v>47.381702716003922</v>
      </c>
      <c r="D344" s="147">
        <f t="shared" si="109"/>
        <v>0</v>
      </c>
      <c r="E344" s="147">
        <f t="shared" si="109"/>
        <v>15.700995605891496</v>
      </c>
      <c r="F344" s="147">
        <f t="shared" si="109"/>
        <v>13.73</v>
      </c>
      <c r="G344" s="411"/>
      <c r="H344" s="411"/>
      <c r="I344" s="411"/>
      <c r="J344" s="411"/>
      <c r="K344" s="411"/>
      <c r="L344" s="411"/>
      <c r="M344" s="411"/>
      <c r="N344" s="411"/>
      <c r="O344" s="411"/>
      <c r="P344" s="147">
        <f t="shared" si="94"/>
        <v>0</v>
      </c>
      <c r="Q344" s="147">
        <f t="shared" si="94"/>
        <v>0</v>
      </c>
      <c r="S344" s="155">
        <f>SUMIF('Flt III'!D:D,A344,'Flt III'!E:E)/3.2808^2</f>
        <v>47.381702716003922</v>
      </c>
      <c r="T344" s="155">
        <f>SUMIF('Flt IIa'!A:A,A344,'Flt IIa'!E:E)/3.2808^2</f>
        <v>0</v>
      </c>
      <c r="U344" s="155">
        <f>SUMIF('OPC Des'!A:A,A344,'OPC Des'!F:F)/3.2808^2</f>
        <v>15.700995605891496</v>
      </c>
      <c r="V344" s="155">
        <f>SUMIF('LCS 5'!A:A,A344,'LCS 5'!E:E)</f>
        <v>13.73</v>
      </c>
      <c r="W344" s="155">
        <f>SUMIF('USCG Summary'!$A$25:$A$50,A344,'USCG Summary'!$D$25:$D$50)/3.2808^2</f>
        <v>0</v>
      </c>
      <c r="X344" s="155">
        <f>SUMIF('USCG Summary'!$A$25:$A$50,A344,'USCG Summary'!$I$25:$I$50)/3.2808^2</f>
        <v>0</v>
      </c>
      <c r="Y344" s="155">
        <f>SUMIF('USCG Summary'!$A$25:$A$50,A344,'USCG Summary'!$L$25:$L$50)/3.2808^2</f>
        <v>0</v>
      </c>
      <c r="Z344" s="155">
        <f>SUMIF('USCG Summary'!$A$25:$A$50,A344,'USCG Summary'!$O$25:$O$50)/3.2808^2</f>
        <v>0</v>
      </c>
      <c r="AA344" s="155">
        <f>SUMIF('USCG Summary'!$A$25:$A$50,A344,'USCG Summary'!$P$25:$P$50)/3.2808^2</f>
        <v>0</v>
      </c>
      <c r="AB344" s="155">
        <f>SUMIF('USCG Summary'!$A$25:$A$50,A344,'USCG Summary'!$Q$25:$Q$50)/3.2808^2</f>
        <v>0</v>
      </c>
      <c r="AC344" s="155">
        <f>SUMIF('USCG Summary'!$A$25:$A$50,A344,'USCG Summary'!$T$25:$T$50)/3.2808^2</f>
        <v>0</v>
      </c>
      <c r="AD344" s="155">
        <f>SUMIF('USCG Summary'!$A$25:$A$50,A344,'USCG Summary'!$W$25:$W$50)/3.2808^2</f>
        <v>0</v>
      </c>
      <c r="AE344" s="155">
        <f>SUMIF('USCG Summary'!$A$25:$A$50,A344,'USCG Summary'!$Z$25:$Z$50)/3.2808^2</f>
        <v>0</v>
      </c>
      <c r="AF344" s="155">
        <f>SUMIF(Comp!$A$75:$A$400,Areas!A344,Comp!$F$75:$F$400)</f>
        <v>0</v>
      </c>
      <c r="AG344" s="155">
        <f>SUMIF(Comp!$A$75:$A$400,Areas!A344,Comp!$G$75:$G$400)</f>
        <v>0</v>
      </c>
      <c r="AH344" s="155"/>
      <c r="AI344" s="155"/>
      <c r="AK344" s="147"/>
    </row>
    <row r="345" spans="1:37" s="148" customFormat="1">
      <c r="A345" s="146" t="s">
        <v>983</v>
      </c>
      <c r="C345" s="147">
        <f t="shared" si="109"/>
        <v>7.8040451532241759</v>
      </c>
      <c r="D345" s="147">
        <f t="shared" si="109"/>
        <v>0</v>
      </c>
      <c r="E345" s="147">
        <f t="shared" si="109"/>
        <v>0</v>
      </c>
      <c r="F345" s="147">
        <f t="shared" si="109"/>
        <v>0</v>
      </c>
      <c r="G345" s="411"/>
      <c r="H345" s="411"/>
      <c r="I345" s="411"/>
      <c r="J345" s="411"/>
      <c r="K345" s="411"/>
      <c r="L345" s="411"/>
      <c r="M345" s="411"/>
      <c r="N345" s="411"/>
      <c r="O345" s="411"/>
      <c r="P345" s="147">
        <f t="shared" si="94"/>
        <v>0</v>
      </c>
      <c r="Q345" s="147">
        <f t="shared" si="94"/>
        <v>0</v>
      </c>
      <c r="S345" s="155">
        <f>SUMIF('Flt III'!D:D,A345,'Flt III'!E:E)/3.2808^2</f>
        <v>7.8040451532241759</v>
      </c>
      <c r="T345" s="155">
        <f>SUMIF('Flt IIa'!A:A,A345,'Flt IIa'!E:E)/3.2808^2</f>
        <v>0</v>
      </c>
      <c r="U345" s="155">
        <f>SUMIF('OPC Des'!A:A,A345,'OPC Des'!F:F)/3.2808^2</f>
        <v>0</v>
      </c>
      <c r="V345" s="155">
        <f>SUMIF('LCS 5'!A:A,A345,'LCS 5'!E:E)</f>
        <v>0</v>
      </c>
      <c r="W345" s="155">
        <f>SUMIF('USCG Summary'!$A$25:$A$50,A345,'USCG Summary'!$D$25:$D$50)/3.2808^2</f>
        <v>0</v>
      </c>
      <c r="X345" s="155">
        <f>SUMIF('USCG Summary'!$A$25:$A$50,A345,'USCG Summary'!$I$25:$I$50)/3.2808^2</f>
        <v>0</v>
      </c>
      <c r="Y345" s="155">
        <f>SUMIF('USCG Summary'!$A$25:$A$50,A345,'USCG Summary'!$L$25:$L$50)/3.2808^2</f>
        <v>0</v>
      </c>
      <c r="Z345" s="155">
        <f>SUMIF('USCG Summary'!$A$25:$A$50,A345,'USCG Summary'!$O$25:$O$50)/3.2808^2</f>
        <v>0</v>
      </c>
      <c r="AA345" s="155">
        <f>SUMIF('USCG Summary'!$A$25:$A$50,A345,'USCG Summary'!$P$25:$P$50)/3.2808^2</f>
        <v>0</v>
      </c>
      <c r="AB345" s="155">
        <f>SUMIF('USCG Summary'!$A$25:$A$50,A345,'USCG Summary'!$Q$25:$Q$50)/3.2808^2</f>
        <v>0</v>
      </c>
      <c r="AC345" s="155">
        <f>SUMIF('USCG Summary'!$A$25:$A$50,A345,'USCG Summary'!$T$25:$T$50)/3.2808^2</f>
        <v>0</v>
      </c>
      <c r="AD345" s="155">
        <f>SUMIF('USCG Summary'!$A$25:$A$50,A345,'USCG Summary'!$W$25:$W$50)/3.2808^2</f>
        <v>0</v>
      </c>
      <c r="AE345" s="155">
        <f>SUMIF('USCG Summary'!$A$25:$A$50,A345,'USCG Summary'!$Z$25:$Z$50)/3.2808^2</f>
        <v>0</v>
      </c>
      <c r="AF345" s="155">
        <f>SUMIF(Comp!$A$75:$A$400,Areas!A345,Comp!$F$75:$F$400)</f>
        <v>0</v>
      </c>
      <c r="AG345" s="155">
        <f>SUMIF(Comp!$A$75:$A$400,Areas!A345,Comp!$G$75:$G$400)</f>
        <v>0</v>
      </c>
      <c r="AH345" s="155"/>
      <c r="AI345" s="155"/>
      <c r="AK345" s="147"/>
    </row>
    <row r="346" spans="1:37" s="132" customFormat="1">
      <c r="A346" s="142">
        <v>2.621</v>
      </c>
      <c r="B346" s="132" t="str">
        <f>Comp!B294</f>
        <v>CBR DEFENSE EQP STRMS</v>
      </c>
      <c r="C346" s="143">
        <f t="shared" si="109"/>
        <v>0</v>
      </c>
      <c r="D346" s="143">
        <f t="shared" si="109"/>
        <v>0</v>
      </c>
      <c r="E346" s="143">
        <f t="shared" si="109"/>
        <v>0</v>
      </c>
      <c r="F346" s="143">
        <f t="shared" si="109"/>
        <v>0</v>
      </c>
      <c r="G346" s="410"/>
      <c r="H346" s="410"/>
      <c r="I346" s="410"/>
      <c r="J346" s="410"/>
      <c r="K346" s="410"/>
      <c r="L346" s="410"/>
      <c r="M346" s="410"/>
      <c r="N346" s="410"/>
      <c r="O346" s="410"/>
      <c r="P346" s="143">
        <f t="shared" si="94"/>
        <v>36.4</v>
      </c>
      <c r="Q346" s="143">
        <f t="shared" si="94"/>
        <v>36.4</v>
      </c>
      <c r="S346" s="154">
        <f>SUMIF('Flt III'!D:D,A346,'Flt III'!E:E)/3.2808^2</f>
        <v>0</v>
      </c>
      <c r="T346" s="154">
        <f>SUMIF('Flt IIa'!A:A,A346,'Flt IIa'!E:E)/3.2808^2</f>
        <v>0</v>
      </c>
      <c r="U346" s="154">
        <f>SUMIF('OPC Des'!A:A,A346,'OPC Des'!F:F)/3.2808^2</f>
        <v>0</v>
      </c>
      <c r="V346" s="154">
        <f>SUMIF('LCS 5'!A:A,A346,'LCS 5'!E:E)</f>
        <v>0</v>
      </c>
      <c r="W346" s="154">
        <f>SUMIF('USCG Summary'!$A$25:$A$50,A346,'USCG Summary'!$D$25:$D$50)/3.2808^2</f>
        <v>0</v>
      </c>
      <c r="X346" s="154">
        <f>SUMIF('USCG Summary'!$A$25:$A$50,A346,'USCG Summary'!$I$25:$I$50)/3.2808^2</f>
        <v>0</v>
      </c>
      <c r="Y346" s="154">
        <f>SUMIF('USCG Summary'!$A$25:$A$50,A346,'USCG Summary'!$L$25:$L$50)/3.2808^2</f>
        <v>0</v>
      </c>
      <c r="Z346" s="154">
        <f>SUMIF('USCG Summary'!$A$25:$A$50,A346,'USCG Summary'!$O$25:$O$50)/3.2808^2</f>
        <v>0</v>
      </c>
      <c r="AA346" s="154">
        <f>SUMIF('USCG Summary'!$A$25:$A$50,A346,'USCG Summary'!$P$25:$P$50)/3.2808^2</f>
        <v>0</v>
      </c>
      <c r="AB346" s="154">
        <f>SUMIF('USCG Summary'!$A$25:$A$50,A346,'USCG Summary'!$Q$25:$Q$50)/3.2808^2</f>
        <v>0</v>
      </c>
      <c r="AC346" s="154">
        <f>SUMIF('USCG Summary'!$A$25:$A$50,A346,'USCG Summary'!$T$25:$T$50)/3.2808^2</f>
        <v>0</v>
      </c>
      <c r="AD346" s="154">
        <f>SUMIF('USCG Summary'!$A$25:$A$50,A346,'USCG Summary'!$W$25:$W$50)/3.2808^2</f>
        <v>0</v>
      </c>
      <c r="AE346" s="154">
        <f>SUMIF('USCG Summary'!$A$25:$A$50,A346,'USCG Summary'!$Z$25:$Z$50)/3.2808^2</f>
        <v>0</v>
      </c>
      <c r="AF346" s="154">
        <f>SUMIF(Comp!$A$75:$A$400,Areas!A346,Comp!$F$75:$F$400)</f>
        <v>36.4</v>
      </c>
      <c r="AG346" s="154">
        <f>SUMIF(Comp!$A$75:$A$400,Areas!A346,Comp!$G$75:$G$400)</f>
        <v>36.4</v>
      </c>
      <c r="AH346" s="154"/>
      <c r="AI346" s="154"/>
      <c r="AK346" s="143"/>
    </row>
    <row r="347" spans="1:37" s="134" customFormat="1">
      <c r="A347" s="140">
        <v>2.63</v>
      </c>
      <c r="B347" s="134" t="str">
        <f>Comp!B295</f>
        <v>CPS AIRLOCKS</v>
      </c>
      <c r="C347" s="149">
        <f>SUM(C348:C351)</f>
        <v>34.096244895634193</v>
      </c>
      <c r="D347" s="149">
        <f>T347</f>
        <v>32.795570703430165</v>
      </c>
      <c r="E347" s="149">
        <f>U347</f>
        <v>0</v>
      </c>
      <c r="F347" s="149">
        <f>SUM(F348:F351)</f>
        <v>9.9999999999999982</v>
      </c>
      <c r="G347" s="409"/>
      <c r="H347" s="409"/>
      <c r="I347" s="409"/>
      <c r="J347" s="409"/>
      <c r="K347" s="409"/>
      <c r="L347" s="409"/>
      <c r="M347" s="409"/>
      <c r="N347" s="409"/>
      <c r="O347" s="409"/>
      <c r="P347" s="149">
        <f t="shared" si="94"/>
        <v>39.200000000000003</v>
      </c>
      <c r="Q347" s="149">
        <f t="shared" si="94"/>
        <v>40.200000000000003</v>
      </c>
      <c r="S347" s="153">
        <f>SUMIF('Flt III'!D:D,A347,'Flt III'!E:E)/3.2808^2</f>
        <v>0</v>
      </c>
      <c r="T347" s="153">
        <f>SUMIF('Flt IIa'!A:A,A347,'Flt IIa'!E:E)/3.2808^2</f>
        <v>32.795570703430165</v>
      </c>
      <c r="U347" s="153">
        <f>SUMIF('OPC Des'!A:A,A347,'OPC Des'!F:F)/3.2808^2</f>
        <v>0</v>
      </c>
      <c r="V347" s="153">
        <f>SUMIF('LCS 5'!A:A,A347,'LCS 5'!E:E)</f>
        <v>0</v>
      </c>
      <c r="W347" s="153">
        <f>SUMIF('USCG Summary'!$A$25:$A$50,A347,'USCG Summary'!$D$25:$D$50)/3.2808^2</f>
        <v>0</v>
      </c>
      <c r="X347" s="153">
        <f>SUMIF('USCG Summary'!$A$25:$A$50,A347,'USCG Summary'!$I$25:$I$50)/3.2808^2</f>
        <v>0</v>
      </c>
      <c r="Y347" s="153">
        <f>SUMIF('USCG Summary'!$A$25:$A$50,A347,'USCG Summary'!$L$25:$L$50)/3.2808^2</f>
        <v>0</v>
      </c>
      <c r="Z347" s="153">
        <f>SUMIF('USCG Summary'!$A$25:$A$50,A347,'USCG Summary'!$O$25:$O$50)/3.2808^2</f>
        <v>0</v>
      </c>
      <c r="AA347" s="153">
        <f>SUMIF('USCG Summary'!$A$25:$A$50,A347,'USCG Summary'!$P$25:$P$50)/3.2808^2</f>
        <v>0</v>
      </c>
      <c r="AB347" s="153">
        <f>SUMIF('USCG Summary'!$A$25:$A$50,A347,'USCG Summary'!$Q$25:$Q$50)/3.2808^2</f>
        <v>0</v>
      </c>
      <c r="AC347" s="153">
        <f>SUMIF('USCG Summary'!$A$25:$A$50,A347,'USCG Summary'!$T$25:$T$50)/3.2808^2</f>
        <v>0</v>
      </c>
      <c r="AD347" s="153">
        <f>SUMIF('USCG Summary'!$A$25:$A$50,A347,'USCG Summary'!$W$25:$W$50)/3.2808^2</f>
        <v>0</v>
      </c>
      <c r="AE347" s="153">
        <f>SUMIF('USCG Summary'!$A$25:$A$50,A347,'USCG Summary'!$Z$25:$Z$50)/3.2808^2</f>
        <v>0</v>
      </c>
      <c r="AF347" s="153">
        <f>SUMIF(Comp!$A$75:$A$400,Areas!A347,Comp!$F$75:$F$400)</f>
        <v>39.200000000000003</v>
      </c>
      <c r="AG347" s="153">
        <f>SUMIF(Comp!$A$75:$A$400,Areas!A347,Comp!$G$75:$G$400)</f>
        <v>40.200000000000003</v>
      </c>
      <c r="AH347" s="153"/>
      <c r="AI347" s="153"/>
      <c r="AK347" s="133"/>
    </row>
    <row r="348" spans="1:37" s="148" customFormat="1">
      <c r="A348" s="146" t="s">
        <v>973</v>
      </c>
      <c r="C348" s="147">
        <f t="shared" ref="C348:F351" si="110">S348</f>
        <v>16.630048600322947</v>
      </c>
      <c r="D348" s="147">
        <f t="shared" si="110"/>
        <v>0</v>
      </c>
      <c r="E348" s="147">
        <f t="shared" si="110"/>
        <v>0</v>
      </c>
      <c r="F348" s="147">
        <f t="shared" si="110"/>
        <v>8.8099999999999987</v>
      </c>
      <c r="G348" s="411"/>
      <c r="H348" s="411"/>
      <c r="I348" s="411"/>
      <c r="J348" s="411"/>
      <c r="K348" s="411"/>
      <c r="L348" s="411"/>
      <c r="M348" s="411"/>
      <c r="N348" s="411"/>
      <c r="O348" s="411"/>
      <c r="P348" s="147">
        <f t="shared" si="94"/>
        <v>0</v>
      </c>
      <c r="Q348" s="147">
        <f t="shared" si="94"/>
        <v>0</v>
      </c>
      <c r="S348" s="155">
        <f>SUMIF('Flt III'!D:D,A348,'Flt III'!E:E)/3.2808^2</f>
        <v>16.630048600322947</v>
      </c>
      <c r="T348" s="155">
        <f>SUMIF('Flt IIa'!A:A,A348,'Flt IIa'!E:E)/3.2808^2</f>
        <v>0</v>
      </c>
      <c r="U348" s="155">
        <f>SUMIF('OPC Des'!A:A,A348,'OPC Des'!F:F)/3.2808^2</f>
        <v>0</v>
      </c>
      <c r="V348" s="155">
        <f>SUMIF('LCS 5'!A:A,A348,'LCS 5'!E:E)</f>
        <v>8.8099999999999987</v>
      </c>
      <c r="W348" s="155">
        <f>SUMIF('USCG Summary'!$A$25:$A$50,A348,'USCG Summary'!$D$25:$D$50)/3.2808^2</f>
        <v>0</v>
      </c>
      <c r="X348" s="155">
        <f>SUMIF('USCG Summary'!$A$25:$A$50,A348,'USCG Summary'!$I$25:$I$50)/3.2808^2</f>
        <v>0</v>
      </c>
      <c r="Y348" s="155">
        <f>SUMIF('USCG Summary'!$A$25:$A$50,A348,'USCG Summary'!$L$25:$L$50)/3.2808^2</f>
        <v>0</v>
      </c>
      <c r="Z348" s="155">
        <f>SUMIF('USCG Summary'!$A$25:$A$50,A348,'USCG Summary'!$O$25:$O$50)/3.2808^2</f>
        <v>0</v>
      </c>
      <c r="AA348" s="155">
        <f>SUMIF('USCG Summary'!$A$25:$A$50,A348,'USCG Summary'!$P$25:$P$50)/3.2808^2</f>
        <v>0</v>
      </c>
      <c r="AB348" s="155">
        <f>SUMIF('USCG Summary'!$A$25:$A$50,A348,'USCG Summary'!$Q$25:$Q$50)/3.2808^2</f>
        <v>0</v>
      </c>
      <c r="AC348" s="155">
        <f>SUMIF('USCG Summary'!$A$25:$A$50,A348,'USCG Summary'!$T$25:$T$50)/3.2808^2</f>
        <v>0</v>
      </c>
      <c r="AD348" s="155">
        <f>SUMIF('USCG Summary'!$A$25:$A$50,A348,'USCG Summary'!$W$25:$W$50)/3.2808^2</f>
        <v>0</v>
      </c>
      <c r="AE348" s="155">
        <f>SUMIF('USCG Summary'!$A$25:$A$50,A348,'USCG Summary'!$Z$25:$Z$50)/3.2808^2</f>
        <v>0</v>
      </c>
      <c r="AF348" s="155">
        <f>SUMIF(Comp!$A$75:$A$400,Areas!A348,Comp!$F$75:$F$400)</f>
        <v>0</v>
      </c>
      <c r="AG348" s="155">
        <f>SUMIF(Comp!$A$75:$A$400,Areas!A348,Comp!$G$75:$G$400)</f>
        <v>0</v>
      </c>
      <c r="AH348" s="155"/>
      <c r="AI348" s="155"/>
      <c r="AK348" s="147"/>
    </row>
    <row r="349" spans="1:37" s="148" customFormat="1">
      <c r="A349" s="146" t="s">
        <v>969</v>
      </c>
      <c r="C349" s="147">
        <f t="shared" si="110"/>
        <v>2.8800642827374934</v>
      </c>
      <c r="D349" s="147">
        <f t="shared" si="110"/>
        <v>0</v>
      </c>
      <c r="E349" s="147">
        <f t="shared" si="110"/>
        <v>0</v>
      </c>
      <c r="F349" s="147">
        <f t="shared" si="110"/>
        <v>0</v>
      </c>
      <c r="G349" s="411"/>
      <c r="H349" s="411"/>
      <c r="I349" s="411"/>
      <c r="J349" s="411"/>
      <c r="K349" s="411"/>
      <c r="L349" s="411"/>
      <c r="M349" s="411"/>
      <c r="N349" s="411"/>
      <c r="O349" s="411"/>
      <c r="P349" s="147">
        <f t="shared" si="94"/>
        <v>0</v>
      </c>
      <c r="Q349" s="147">
        <f t="shared" si="94"/>
        <v>0</v>
      </c>
      <c r="S349" s="155">
        <f>SUMIF('Flt III'!D:D,A349,'Flt III'!E:E)/3.2808^2</f>
        <v>2.8800642827374934</v>
      </c>
      <c r="T349" s="155">
        <f>SUMIF('Flt IIa'!A:A,A349,'Flt IIa'!E:E)/3.2808^2</f>
        <v>0</v>
      </c>
      <c r="U349" s="155">
        <f>SUMIF('OPC Des'!A:A,A349,'OPC Des'!F:F)/3.2808^2</f>
        <v>0</v>
      </c>
      <c r="V349" s="155">
        <f>SUMIF('LCS 5'!A:A,A349,'LCS 5'!E:E)</f>
        <v>0</v>
      </c>
      <c r="W349" s="155">
        <f>SUMIF('USCG Summary'!$A$25:$A$50,A349,'USCG Summary'!$D$25:$D$50)/3.2808^2</f>
        <v>0</v>
      </c>
      <c r="X349" s="155">
        <f>SUMIF('USCG Summary'!$A$25:$A$50,A349,'USCG Summary'!$I$25:$I$50)/3.2808^2</f>
        <v>0</v>
      </c>
      <c r="Y349" s="155">
        <f>SUMIF('USCG Summary'!$A$25:$A$50,A349,'USCG Summary'!$L$25:$L$50)/3.2808^2</f>
        <v>0</v>
      </c>
      <c r="Z349" s="155">
        <f>SUMIF('USCG Summary'!$A$25:$A$50,A349,'USCG Summary'!$O$25:$O$50)/3.2808^2</f>
        <v>0</v>
      </c>
      <c r="AA349" s="155">
        <f>SUMIF('USCG Summary'!$A$25:$A$50,A349,'USCG Summary'!$P$25:$P$50)/3.2808^2</f>
        <v>0</v>
      </c>
      <c r="AB349" s="155">
        <f>SUMIF('USCG Summary'!$A$25:$A$50,A349,'USCG Summary'!$Q$25:$Q$50)/3.2808^2</f>
        <v>0</v>
      </c>
      <c r="AC349" s="155">
        <f>SUMIF('USCG Summary'!$A$25:$A$50,A349,'USCG Summary'!$T$25:$T$50)/3.2808^2</f>
        <v>0</v>
      </c>
      <c r="AD349" s="155">
        <f>SUMIF('USCG Summary'!$A$25:$A$50,A349,'USCG Summary'!$W$25:$W$50)/3.2808^2</f>
        <v>0</v>
      </c>
      <c r="AE349" s="155">
        <f>SUMIF('USCG Summary'!$A$25:$A$50,A349,'USCG Summary'!$Z$25:$Z$50)/3.2808^2</f>
        <v>0</v>
      </c>
      <c r="AF349" s="155">
        <f>SUMIF(Comp!$A$75:$A$400,Areas!A349,Comp!$F$75:$F$400)</f>
        <v>0</v>
      </c>
      <c r="AG349" s="155">
        <f>SUMIF(Comp!$A$75:$A$400,Areas!A349,Comp!$G$75:$G$400)</f>
        <v>0</v>
      </c>
      <c r="AH349" s="155"/>
      <c r="AI349" s="155"/>
      <c r="AK349" s="147"/>
    </row>
    <row r="350" spans="1:37" s="148" customFormat="1">
      <c r="A350" s="146" t="s">
        <v>961</v>
      </c>
      <c r="B350" s="135"/>
      <c r="C350" s="147">
        <f t="shared" si="110"/>
        <v>9.0118140459850604</v>
      </c>
      <c r="D350" s="147">
        <f t="shared" si="110"/>
        <v>0</v>
      </c>
      <c r="E350" s="147">
        <f t="shared" si="110"/>
        <v>0</v>
      </c>
      <c r="F350" s="147">
        <f t="shared" si="110"/>
        <v>1.19</v>
      </c>
      <c r="G350" s="411"/>
      <c r="H350" s="411"/>
      <c r="I350" s="411"/>
      <c r="J350" s="411"/>
      <c r="K350" s="411"/>
      <c r="L350" s="411"/>
      <c r="M350" s="411"/>
      <c r="N350" s="411"/>
      <c r="O350" s="411"/>
      <c r="P350" s="147">
        <f t="shared" si="94"/>
        <v>0</v>
      </c>
      <c r="Q350" s="147">
        <f t="shared" si="94"/>
        <v>0</v>
      </c>
      <c r="S350" s="155">
        <f>SUMIF('Flt III'!D:D,A350,'Flt III'!E:E)/3.2808^2</f>
        <v>9.0118140459850604</v>
      </c>
      <c r="T350" s="155">
        <f>SUMIF('Flt IIa'!A:A,A350,'Flt IIa'!E:E)/3.2808^2</f>
        <v>0</v>
      </c>
      <c r="U350" s="155">
        <f>SUMIF('OPC Des'!A:A,A350,'OPC Des'!F:F)/3.2808^2</f>
        <v>0</v>
      </c>
      <c r="V350" s="155">
        <f>SUMIF('LCS 5'!A:A,A350,'LCS 5'!E:E)</f>
        <v>1.19</v>
      </c>
      <c r="W350" s="155">
        <f>SUMIF('USCG Summary'!$A$25:$A$50,A350,'USCG Summary'!$D$25:$D$50)/3.2808^2</f>
        <v>0</v>
      </c>
      <c r="X350" s="155">
        <f>SUMIF('USCG Summary'!$A$25:$A$50,A350,'USCG Summary'!$I$25:$I$50)/3.2808^2</f>
        <v>0</v>
      </c>
      <c r="Y350" s="155">
        <f>SUMIF('USCG Summary'!$A$25:$A$50,A350,'USCG Summary'!$L$25:$L$50)/3.2808^2</f>
        <v>0</v>
      </c>
      <c r="Z350" s="155">
        <f>SUMIF('USCG Summary'!$A$25:$A$50,A350,'USCG Summary'!$O$25:$O$50)/3.2808^2</f>
        <v>0</v>
      </c>
      <c r="AA350" s="155">
        <f>SUMIF('USCG Summary'!$A$25:$A$50,A350,'USCG Summary'!$P$25:$P$50)/3.2808^2</f>
        <v>0</v>
      </c>
      <c r="AB350" s="155">
        <f>SUMIF('USCG Summary'!$A$25:$A$50,A350,'USCG Summary'!$Q$25:$Q$50)/3.2808^2</f>
        <v>0</v>
      </c>
      <c r="AC350" s="155">
        <f>SUMIF('USCG Summary'!$A$25:$A$50,A350,'USCG Summary'!$T$25:$T$50)/3.2808^2</f>
        <v>0</v>
      </c>
      <c r="AD350" s="155">
        <f>SUMIF('USCG Summary'!$A$25:$A$50,A350,'USCG Summary'!$W$25:$W$50)/3.2808^2</f>
        <v>0</v>
      </c>
      <c r="AE350" s="155">
        <f>SUMIF('USCG Summary'!$A$25:$A$50,A350,'USCG Summary'!$Z$25:$Z$50)/3.2808^2</f>
        <v>0</v>
      </c>
      <c r="AF350" s="155">
        <f>SUMIF(Comp!$A$75:$A$400,Areas!A350,Comp!$F$75:$F$400)</f>
        <v>0</v>
      </c>
      <c r="AG350" s="155">
        <f>SUMIF(Comp!$A$75:$A$400,Areas!A350,Comp!$G$75:$G$400)</f>
        <v>0</v>
      </c>
      <c r="AH350" s="155"/>
      <c r="AI350" s="155"/>
      <c r="AK350" s="147"/>
    </row>
    <row r="351" spans="1:37" s="148" customFormat="1">
      <c r="A351" s="146" t="s">
        <v>955</v>
      </c>
      <c r="B351" s="135"/>
      <c r="C351" s="147">
        <f t="shared" si="110"/>
        <v>5.5743179665886968</v>
      </c>
      <c r="D351" s="147">
        <f t="shared" si="110"/>
        <v>0</v>
      </c>
      <c r="E351" s="147">
        <f t="shared" si="110"/>
        <v>0</v>
      </c>
      <c r="F351" s="147">
        <f t="shared" si="110"/>
        <v>0</v>
      </c>
      <c r="G351" s="411"/>
      <c r="H351" s="411"/>
      <c r="I351" s="411"/>
      <c r="J351" s="411"/>
      <c r="K351" s="411"/>
      <c r="L351" s="411"/>
      <c r="M351" s="411"/>
      <c r="N351" s="411"/>
      <c r="O351" s="411"/>
      <c r="P351" s="147">
        <f t="shared" si="94"/>
        <v>0</v>
      </c>
      <c r="Q351" s="147">
        <f t="shared" si="94"/>
        <v>0</v>
      </c>
      <c r="S351" s="155">
        <f>SUMIF('Flt III'!D:D,A351,'Flt III'!E:E)/3.2808^2</f>
        <v>5.5743179665886968</v>
      </c>
      <c r="T351" s="155">
        <f>SUMIF('Flt IIa'!A:A,A351,'Flt IIa'!E:E)/3.2808^2</f>
        <v>0</v>
      </c>
      <c r="U351" s="155">
        <f>SUMIF('OPC Des'!A:A,A351,'OPC Des'!F:F)/3.2808^2</f>
        <v>0</v>
      </c>
      <c r="V351" s="155">
        <f>SUMIF('LCS 5'!A:A,A351,'LCS 5'!E:E)</f>
        <v>0</v>
      </c>
      <c r="W351" s="155">
        <f>SUMIF('USCG Summary'!$A$25:$A$50,A351,'USCG Summary'!$D$25:$D$50)/3.2808^2</f>
        <v>0</v>
      </c>
      <c r="X351" s="155">
        <f>SUMIF('USCG Summary'!$A$25:$A$50,A351,'USCG Summary'!$I$25:$I$50)/3.2808^2</f>
        <v>0</v>
      </c>
      <c r="Y351" s="155">
        <f>SUMIF('USCG Summary'!$A$25:$A$50,A351,'USCG Summary'!$L$25:$L$50)/3.2808^2</f>
        <v>0</v>
      </c>
      <c r="Z351" s="155">
        <f>SUMIF('USCG Summary'!$A$25:$A$50,A351,'USCG Summary'!$O$25:$O$50)/3.2808^2</f>
        <v>0</v>
      </c>
      <c r="AA351" s="155">
        <f>SUMIF('USCG Summary'!$A$25:$A$50,A351,'USCG Summary'!$P$25:$P$50)/3.2808^2</f>
        <v>0</v>
      </c>
      <c r="AB351" s="155">
        <f>SUMIF('USCG Summary'!$A$25:$A$50,A351,'USCG Summary'!$Q$25:$Q$50)/3.2808^2</f>
        <v>0</v>
      </c>
      <c r="AC351" s="155">
        <f>SUMIF('USCG Summary'!$A$25:$A$50,A351,'USCG Summary'!$T$25:$T$50)/3.2808^2</f>
        <v>0</v>
      </c>
      <c r="AD351" s="155">
        <f>SUMIF('USCG Summary'!$A$25:$A$50,A351,'USCG Summary'!$W$25:$W$50)/3.2808^2</f>
        <v>0</v>
      </c>
      <c r="AE351" s="155">
        <f>SUMIF('USCG Summary'!$A$25:$A$50,A351,'USCG Summary'!$Z$25:$Z$50)/3.2808^2</f>
        <v>0</v>
      </c>
      <c r="AF351" s="155">
        <f>SUMIF(Comp!$A$75:$A$400,Areas!A351,Comp!$F$75:$F$400)</f>
        <v>0</v>
      </c>
      <c r="AG351" s="155">
        <f>SUMIF(Comp!$A$75:$A$400,Areas!A351,Comp!$G$75:$G$400)</f>
        <v>0</v>
      </c>
      <c r="AH351" s="155"/>
      <c r="AI351" s="155"/>
      <c r="AK351" s="147"/>
    </row>
    <row r="352" spans="1:37" s="139" customFormat="1">
      <c r="A352" s="137">
        <v>2.7</v>
      </c>
      <c r="B352" s="139" t="str">
        <f>Comp!B296</f>
        <v>LIFESAVING EQUIPMENT</v>
      </c>
      <c r="C352" s="150">
        <f>C353</f>
        <v>0</v>
      </c>
      <c r="D352" s="150">
        <f>D353</f>
        <v>0</v>
      </c>
      <c r="E352" s="150">
        <f>E353</f>
        <v>0</v>
      </c>
      <c r="F352" s="150">
        <f>F353</f>
        <v>0</v>
      </c>
      <c r="G352" s="406">
        <f>W352</f>
        <v>0</v>
      </c>
      <c r="H352" s="406">
        <f t="shared" ref="H352:O352" si="111">X352</f>
        <v>0</v>
      </c>
      <c r="I352" s="406">
        <f t="shared" si="111"/>
        <v>0</v>
      </c>
      <c r="J352" s="406">
        <f t="shared" si="111"/>
        <v>0</v>
      </c>
      <c r="K352" s="406">
        <f t="shared" si="111"/>
        <v>0</v>
      </c>
      <c r="L352" s="406">
        <f t="shared" si="111"/>
        <v>0</v>
      </c>
      <c r="M352" s="406">
        <f t="shared" si="111"/>
        <v>0</v>
      </c>
      <c r="N352" s="406">
        <f t="shared" si="111"/>
        <v>0</v>
      </c>
      <c r="O352" s="406">
        <f t="shared" si="111"/>
        <v>0</v>
      </c>
      <c r="P352" s="150">
        <f t="shared" si="94"/>
        <v>1.9</v>
      </c>
      <c r="Q352" s="150">
        <f t="shared" si="94"/>
        <v>1.9</v>
      </c>
      <c r="S352" s="152">
        <f>SUMIF('Flt III'!D:D,A352,'Flt III'!E:E)/3.2808^2</f>
        <v>0</v>
      </c>
      <c r="T352" s="152">
        <f>SUMIF('Flt IIa'!A:A,A352,'Flt IIa'!E:E)/3.2808^2</f>
        <v>0</v>
      </c>
      <c r="U352" s="152">
        <f>SUMIF('OPC Des'!A:A,A352,'OPC Des'!F:F)/3.2808^2</f>
        <v>0</v>
      </c>
      <c r="V352" s="152">
        <f>SUMIF('LCS 5'!A:A,A352,'LCS 5'!E:E)</f>
        <v>0</v>
      </c>
      <c r="W352" s="152">
        <f>SUMIF('USCG Summary'!$A$25:$A$50,A352,'USCG Summary'!$D$25:$D$50)/3.2808^2</f>
        <v>0</v>
      </c>
      <c r="X352" s="152">
        <f>SUMIF('USCG Summary'!$A$25:$A$50,A352,'USCG Summary'!$I$25:$I$50)/3.2808^2</f>
        <v>0</v>
      </c>
      <c r="Y352" s="152">
        <f>SUMIF('USCG Summary'!$A$25:$A$50,A352,'USCG Summary'!$L$25:$L$50)/3.2808^2</f>
        <v>0</v>
      </c>
      <c r="Z352" s="152">
        <f>SUMIF('USCG Summary'!$A$25:$A$50,A352,'USCG Summary'!$O$25:$O$50)/3.2808^2</f>
        <v>0</v>
      </c>
      <c r="AA352" s="152">
        <f>SUMIF('USCG Summary'!$A$25:$A$50,A352,'USCG Summary'!$P$25:$P$50)/3.2808^2</f>
        <v>0</v>
      </c>
      <c r="AB352" s="152">
        <f>SUMIF('USCG Summary'!$A$25:$A$50,A352,'USCG Summary'!$Q$25:$Q$50)/3.2808^2</f>
        <v>0</v>
      </c>
      <c r="AC352" s="152">
        <f>SUMIF('USCG Summary'!$A$25:$A$50,A352,'USCG Summary'!$T$25:$T$50)/3.2808^2</f>
        <v>0</v>
      </c>
      <c r="AD352" s="152">
        <f>SUMIF('USCG Summary'!$A$25:$A$50,A352,'USCG Summary'!$W$25:$W$50)/3.2808^2</f>
        <v>0</v>
      </c>
      <c r="AE352" s="152">
        <f>SUMIF('USCG Summary'!$A$25:$A$50,A352,'USCG Summary'!$Z$25:$Z$50)/3.2808^2</f>
        <v>0</v>
      </c>
      <c r="AF352" s="152">
        <f>SUMIF(Comp!$A$75:$A$400,Areas!A352,Comp!$F$75:$F$400)</f>
        <v>1.9</v>
      </c>
      <c r="AG352" s="152">
        <f>SUMIF(Comp!$A$75:$A$400,Areas!A352,Comp!$G$75:$G$400)</f>
        <v>1.9</v>
      </c>
      <c r="AH352" s="152"/>
      <c r="AI352" s="152"/>
      <c r="AK352" s="138"/>
    </row>
    <row r="353" spans="1:37" s="134" customFormat="1">
      <c r="A353" s="140">
        <v>2.71</v>
      </c>
      <c r="B353" s="134" t="str">
        <f>Comp!B297</f>
        <v>LIFEJACKET LOCKER</v>
      </c>
      <c r="C353" s="149">
        <f>S353</f>
        <v>0</v>
      </c>
      <c r="D353" s="149">
        <f>T353</f>
        <v>0</v>
      </c>
      <c r="E353" s="149">
        <f>U353</f>
        <v>0</v>
      </c>
      <c r="F353" s="149">
        <f>V353</f>
        <v>0</v>
      </c>
      <c r="G353" s="149"/>
      <c r="H353" s="149"/>
      <c r="I353" s="149"/>
      <c r="J353" s="149"/>
      <c r="K353" s="149"/>
      <c r="L353" s="149"/>
      <c r="M353" s="149"/>
      <c r="N353" s="149"/>
      <c r="O353" s="149"/>
      <c r="P353" s="149">
        <f t="shared" si="94"/>
        <v>1.9</v>
      </c>
      <c r="Q353" s="149">
        <f t="shared" si="94"/>
        <v>1.9</v>
      </c>
      <c r="S353" s="153">
        <f>SUMIF('Flt III'!D:D,A353,'Flt III'!E:E)/3.2808^2</f>
        <v>0</v>
      </c>
      <c r="T353" s="153">
        <f>SUMIF('Flt IIa'!A:A,A353,'Flt IIa'!E:E)/3.2808^2</f>
        <v>0</v>
      </c>
      <c r="U353" s="153">
        <f>SUMIF('OPC Des'!A:A,A353,'OPC Des'!F:F)/3.2808^2</f>
        <v>0</v>
      </c>
      <c r="V353" s="153">
        <f>SUMIF('LCS 5'!A:A,A353,'LCS 5'!E:E)</f>
        <v>0</v>
      </c>
      <c r="W353" s="153">
        <f>SUMIF('USCG Summary'!$A$25:$A$50,A353,'USCG Summary'!$D$25:$D$50)/3.2808^2</f>
        <v>0</v>
      </c>
      <c r="X353" s="153">
        <f>SUMIF('USCG Summary'!$A$25:$A$50,A353,'USCG Summary'!$I$25:$I$50)/3.2808^2</f>
        <v>0</v>
      </c>
      <c r="Y353" s="153">
        <f>SUMIF('USCG Summary'!$A$25:$A$50,A353,'USCG Summary'!$L$25:$L$50)/3.2808^2</f>
        <v>0</v>
      </c>
      <c r="Z353" s="153">
        <f>SUMIF('USCG Summary'!$A$25:$A$50,A353,'USCG Summary'!$O$25:$O$50)/3.2808^2</f>
        <v>0</v>
      </c>
      <c r="AA353" s="153">
        <f>SUMIF('USCG Summary'!$A$25:$A$50,A353,'USCG Summary'!$P$25:$P$50)/3.2808^2</f>
        <v>0</v>
      </c>
      <c r="AB353" s="153">
        <f>SUMIF('USCG Summary'!$A$25:$A$50,A353,'USCG Summary'!$Q$25:$Q$50)/3.2808^2</f>
        <v>0</v>
      </c>
      <c r="AC353" s="153">
        <f>SUMIF('USCG Summary'!$A$25:$A$50,A353,'USCG Summary'!$T$25:$T$50)/3.2808^2</f>
        <v>0</v>
      </c>
      <c r="AD353" s="153">
        <f>SUMIF('USCG Summary'!$A$25:$A$50,A353,'USCG Summary'!$W$25:$W$50)/3.2808^2</f>
        <v>0</v>
      </c>
      <c r="AE353" s="153">
        <f>SUMIF('USCG Summary'!$A$25:$A$50,A353,'USCG Summary'!$Z$25:$Z$50)/3.2808^2</f>
        <v>0</v>
      </c>
      <c r="AF353" s="153">
        <f>SUMIF(Comp!$A$75:$A$400,Areas!A353,Comp!$F$75:$F$400)</f>
        <v>1.9</v>
      </c>
      <c r="AG353" s="153">
        <f>SUMIF(Comp!$A$75:$A$400,Areas!A353,Comp!$G$75:$G$400)</f>
        <v>1.9</v>
      </c>
      <c r="AH353" s="153"/>
      <c r="AI353" s="153"/>
      <c r="AK353" s="133"/>
    </row>
    <row r="354" spans="1:37">
      <c r="B354" s="162"/>
    </row>
    <row r="355" spans="1:37" s="136" customFormat="1">
      <c r="A355" s="135">
        <v>3</v>
      </c>
      <c r="B355" s="136" t="str">
        <f>Comp!B299</f>
        <v>SHIP SUPPORT</v>
      </c>
      <c r="C355" s="158">
        <f>C356+C361+C372+C394+C403+C417+C450+C457</f>
        <v>1998.6717069203773</v>
      </c>
      <c r="D355" s="158">
        <f>D356+D361+D372+D394+D403+D417+D450+D457</f>
        <v>2107.5567178677429</v>
      </c>
      <c r="E355" s="158">
        <f>E356+E361+E372+E394+E403+E417+E450+E457</f>
        <v>903.50403708458464</v>
      </c>
      <c r="F355" s="158">
        <f>F356+F361+F372+F394+F403+F417+F450+F457</f>
        <v>519.31928845549999</v>
      </c>
      <c r="G355" s="413">
        <f>G356+G361+G372+G394+G403+G417+G450+G457</f>
        <v>0</v>
      </c>
      <c r="H355" s="413">
        <f t="shared" ref="H355:O355" si="112">H356+H361+H372+H394+H403+H417+H450+H457</f>
        <v>41.714479449972082</v>
      </c>
      <c r="I355" s="413">
        <f t="shared" si="112"/>
        <v>50.819198795400297</v>
      </c>
      <c r="J355" s="413">
        <f t="shared" si="112"/>
        <v>38.091172771689429</v>
      </c>
      <c r="K355" s="413">
        <f t="shared" si="112"/>
        <v>72.280322966766775</v>
      </c>
      <c r="L355" s="413">
        <f t="shared" si="112"/>
        <v>95.135026629780427</v>
      </c>
      <c r="M355" s="413">
        <f t="shared" si="112"/>
        <v>286.14832228488643</v>
      </c>
      <c r="N355" s="413">
        <f t="shared" si="112"/>
        <v>465.03747636266206</v>
      </c>
      <c r="O355" s="413">
        <f t="shared" si="112"/>
        <v>778.26769343522528</v>
      </c>
      <c r="P355" s="135">
        <f>AF355</f>
        <v>2828.3</v>
      </c>
      <c r="Q355" s="135">
        <f>AG355</f>
        <v>2847</v>
      </c>
      <c r="S355" s="151">
        <f>SUMIF('Flt III'!D:D,A355,'Flt III'!E:E)/3.2808^2</f>
        <v>0</v>
      </c>
      <c r="T355" s="151">
        <f>SUMIF('Flt IIa'!A:A,A355,'Flt IIa'!E:E)/3.2808^2</f>
        <v>0</v>
      </c>
      <c r="U355" s="151">
        <f>SUMIF('OPC Des'!A:A,A355,'OPC Des'!F:F)/3.2808^2</f>
        <v>25.92057854463744</v>
      </c>
      <c r="V355" s="151">
        <f>SUMIF('LCS 5'!A:A,A355,'LCS 5'!E:E)</f>
        <v>0</v>
      </c>
      <c r="W355" s="151">
        <f>SUMIF('USCG Summary'!$A$25:$A$50,A355,'USCG Summary'!$D$25:$D$50)/3.2808^2</f>
        <v>0</v>
      </c>
      <c r="X355" s="153">
        <f>SUMIF('USCG Summary'!$A$25:$A$50,A355,'USCG Summary'!$I$25:$I$50)/3.2808^2</f>
        <v>0</v>
      </c>
      <c r="Y355" s="153">
        <f>SUMIF('USCG Summary'!$A$25:$A$50,A355,'USCG Summary'!$L$25:$L$50)/3.2808^2</f>
        <v>0</v>
      </c>
      <c r="Z355" s="153">
        <f>SUMIF('USCG Summary'!$A$25:$A$50,A355,'USCG Summary'!$O$25:$O$50)/3.2808^2</f>
        <v>0</v>
      </c>
      <c r="AA355" s="153">
        <f>SUMIF('USCG Summary'!$A$25:$A$50,A355,'USCG Summary'!$P$25:$P$50)/3.2808^2</f>
        <v>0</v>
      </c>
      <c r="AB355" s="153">
        <f>SUMIF('USCG Summary'!$A$25:$A$50,A355,'USCG Summary'!$Q$25:$Q$50)/3.2808^2</f>
        <v>0</v>
      </c>
      <c r="AC355" s="153">
        <f>SUMIF('USCG Summary'!$A$25:$A$50,A355,'USCG Summary'!$T$25:$T$50)/3.2808^2</f>
        <v>0</v>
      </c>
      <c r="AD355" s="153">
        <f>SUMIF('USCG Summary'!$A$25:$A$50,A355,'USCG Summary'!$W$25:$W$50)/3.2808^2</f>
        <v>0</v>
      </c>
      <c r="AE355" s="153">
        <f>SUMIF('USCG Summary'!$A$25:$A$50,A355,'USCG Summary'!$Z$25:$Z$50)/3.2808^2</f>
        <v>0</v>
      </c>
      <c r="AF355" s="151">
        <f>SUMIF(Comp!$A$75:$A$400,Areas!A355,Comp!$F$75:$F$400)</f>
        <v>2828.3</v>
      </c>
      <c r="AG355" s="151">
        <f>SUMIF(Comp!$A$75:$A$400,Areas!A355,Comp!$G$75:$G$400)</f>
        <v>2847</v>
      </c>
      <c r="AH355" s="151"/>
      <c r="AI355" s="151"/>
      <c r="AK355" s="135"/>
    </row>
    <row r="356" spans="1:37" s="139" customFormat="1">
      <c r="A356" s="137">
        <v>3.1</v>
      </c>
      <c r="B356" s="139" t="str">
        <f>Comp!B300</f>
        <v>SHIP CNTL SYS(STEERING&amp;DIVING)</v>
      </c>
      <c r="C356" s="150">
        <f>C357+C359+C360</f>
        <v>90.118140459850594</v>
      </c>
      <c r="D356" s="150">
        <f>D357+D359+D360</f>
        <v>90.118140459850594</v>
      </c>
      <c r="E356" s="150">
        <f>E357+E359+E360</f>
        <v>106.46947316184411</v>
      </c>
      <c r="F356" s="150">
        <f>F357+F359+F360</f>
        <v>0</v>
      </c>
      <c r="G356" s="406">
        <f>W356</f>
        <v>0</v>
      </c>
      <c r="H356" s="406">
        <f t="shared" ref="H356:O356" si="113">X356</f>
        <v>19.974639380276162</v>
      </c>
      <c r="I356" s="406">
        <f t="shared" si="113"/>
        <v>19.51011288306044</v>
      </c>
      <c r="J356" s="406">
        <f t="shared" si="113"/>
        <v>20.067544679719308</v>
      </c>
      <c r="K356" s="406">
        <f t="shared" si="113"/>
        <v>0</v>
      </c>
      <c r="L356" s="406">
        <f t="shared" si="113"/>
        <v>0</v>
      </c>
      <c r="M356" s="406">
        <f t="shared" si="113"/>
        <v>58.530338649181317</v>
      </c>
      <c r="N356" s="406">
        <f t="shared" si="113"/>
        <v>95.50664782755301</v>
      </c>
      <c r="O356" s="406">
        <f t="shared" si="113"/>
        <v>160.8190733360839</v>
      </c>
      <c r="P356" s="138">
        <f t="shared" ref="P356:P419" si="114">AF356</f>
        <v>105.4</v>
      </c>
      <c r="Q356" s="138">
        <f t="shared" ref="Q356:Q419" si="115">AG356</f>
        <v>105.4</v>
      </c>
      <c r="S356" s="152">
        <f>SUMIF('Flt III'!D:D,A356,'Flt III'!E:E)/3.2808^2</f>
        <v>0</v>
      </c>
      <c r="T356" s="152">
        <f>SUMIF('Flt IIa'!A:A,A356,'Flt IIa'!E:E)/3.2808^2</f>
        <v>0</v>
      </c>
      <c r="U356" s="152">
        <f>SUMIF('OPC Des'!A:A,A356,'OPC Des'!F:F)/3.2808^2</f>
        <v>0</v>
      </c>
      <c r="V356" s="152">
        <f>SUMIF('LCS 5'!A:A,A356,'LCS 5'!E:E)</f>
        <v>0</v>
      </c>
      <c r="W356" s="152">
        <f>SUMIF('USCG Summary'!$A$25:$A$50,A356,'USCG Summary'!$D$25:$D$50)/3.2808^2</f>
        <v>0</v>
      </c>
      <c r="X356" s="153">
        <f>SUMIF('USCG Summary'!$A$25:$A$50,A356,'USCG Summary'!$I$25:$I$50)/3.2808^2</f>
        <v>19.974639380276162</v>
      </c>
      <c r="Y356" s="153">
        <f>SUMIF('USCG Summary'!$A$25:$A$50,A356,'USCG Summary'!$L$25:$L$50)/3.2808^2</f>
        <v>19.51011288306044</v>
      </c>
      <c r="Z356" s="153">
        <f>SUMIF('USCG Summary'!$A$25:$A$50,A356,'USCG Summary'!$O$25:$O$50)/3.2808^2</f>
        <v>20.067544679719308</v>
      </c>
      <c r="AA356" s="153">
        <f>SUMIF('USCG Summary'!$A$25:$A$50,A356,'USCG Summary'!$P$25:$P$50)/3.2808^2</f>
        <v>0</v>
      </c>
      <c r="AB356" s="153">
        <f>SUMIF('USCG Summary'!$A$25:$A$50,A356,'USCG Summary'!$Q$25:$Q$50)/3.2808^2</f>
        <v>0</v>
      </c>
      <c r="AC356" s="153">
        <f>SUMIF('USCG Summary'!$A$25:$A$50,A356,'USCG Summary'!$T$25:$T$50)/3.2808^2</f>
        <v>58.530338649181317</v>
      </c>
      <c r="AD356" s="153">
        <f>SUMIF('USCG Summary'!$A$25:$A$50,A356,'USCG Summary'!$W$25:$W$50)/3.2808^2</f>
        <v>95.50664782755301</v>
      </c>
      <c r="AE356" s="153">
        <f>SUMIF('USCG Summary'!$A$25:$A$50,A356,'USCG Summary'!$Z$25:$Z$50)/3.2808^2</f>
        <v>160.8190733360839</v>
      </c>
      <c r="AF356" s="152">
        <f>SUMIF(Comp!$A$75:$A$400,Areas!A356,Comp!$F$75:$F$400)</f>
        <v>105.4</v>
      </c>
      <c r="AG356" s="152">
        <f>SUMIF(Comp!$A$75:$A$400,Areas!A356,Comp!$G$75:$G$400)</f>
        <v>105.4</v>
      </c>
      <c r="AH356" s="152"/>
      <c r="AI356" s="152"/>
      <c r="AK356" s="138"/>
    </row>
    <row r="357" spans="1:37" s="134" customFormat="1">
      <c r="A357" s="140">
        <v>3.11</v>
      </c>
      <c r="B357" s="134" t="str">
        <f>Comp!B301</f>
        <v>STEERING GEAR</v>
      </c>
      <c r="C357" s="149">
        <f>SUM(C358)</f>
        <v>90.118140459850594</v>
      </c>
      <c r="D357" s="149">
        <f>T357</f>
        <v>90.118140459850594</v>
      </c>
      <c r="E357" s="149">
        <f>SUM(E358)</f>
        <v>106.46947316184411</v>
      </c>
      <c r="F357" s="149">
        <f>SUM(F358)</f>
        <v>0</v>
      </c>
      <c r="G357" s="409"/>
      <c r="H357" s="409"/>
      <c r="I357" s="409"/>
      <c r="J357" s="409"/>
      <c r="K357" s="409"/>
      <c r="L357" s="409"/>
      <c r="M357" s="409"/>
      <c r="N357" s="409"/>
      <c r="O357" s="409"/>
      <c r="P357" s="149">
        <f t="shared" si="114"/>
        <v>105.4</v>
      </c>
      <c r="Q357" s="149">
        <f t="shared" si="115"/>
        <v>105.4</v>
      </c>
      <c r="S357" s="153">
        <f>SUMIF('Flt III'!D:D,A357,'Flt III'!E:E)/3.2808^2</f>
        <v>0</v>
      </c>
      <c r="T357" s="153">
        <f>SUMIF('Flt IIa'!A:A,A357,'Flt IIa'!E:E)/3.2808^2</f>
        <v>90.118140459850594</v>
      </c>
      <c r="U357" s="153">
        <f>SUMIF('OPC Des'!A:A,A357,'OPC Des'!F:F)/3.2808^2</f>
        <v>0</v>
      </c>
      <c r="V357" s="153">
        <f>SUMIF('LCS 5'!A:A,A357,'LCS 5'!E:E)</f>
        <v>0</v>
      </c>
      <c r="W357" s="153">
        <f>SUMIF('USCG Summary'!$A$25:$A$50,A357,'USCG Summary'!$D$25:$D$50)/3.2808^2</f>
        <v>0</v>
      </c>
      <c r="X357" s="153">
        <f>SUMIF('USCG Summary'!$A$25:$A$50,A357,'USCG Summary'!$I$25:$I$50)/3.2808^2</f>
        <v>0</v>
      </c>
      <c r="Y357" s="153">
        <f>SUMIF('USCG Summary'!$A$25:$A$50,A357,'USCG Summary'!$L$25:$L$50)/3.2808^2</f>
        <v>0</v>
      </c>
      <c r="Z357" s="153">
        <f>SUMIF('USCG Summary'!$A$25:$A$50,A357,'USCG Summary'!$O$25:$O$50)/3.2808^2</f>
        <v>0</v>
      </c>
      <c r="AA357" s="153">
        <f>SUMIF('USCG Summary'!$A$25:$A$50,A357,'USCG Summary'!$P$25:$P$50)/3.2808^2</f>
        <v>0</v>
      </c>
      <c r="AB357" s="153">
        <f>SUMIF('USCG Summary'!$A$25:$A$50,A357,'USCG Summary'!$Q$25:$Q$50)/3.2808^2</f>
        <v>0</v>
      </c>
      <c r="AC357" s="153">
        <f>SUMIF('USCG Summary'!$A$25:$A$50,A357,'USCG Summary'!$T$25:$T$50)/3.2808^2</f>
        <v>0</v>
      </c>
      <c r="AD357" s="153">
        <f>SUMIF('USCG Summary'!$A$25:$A$50,A357,'USCG Summary'!$W$25:$W$50)/3.2808^2</f>
        <v>0</v>
      </c>
      <c r="AE357" s="153">
        <f>SUMIF('USCG Summary'!$A$25:$A$50,A357,'USCG Summary'!$Z$25:$Z$50)/3.2808^2</f>
        <v>0</v>
      </c>
      <c r="AF357" s="153">
        <f>SUMIF(Comp!$A$75:$A$400,Areas!A357,Comp!$F$75:$F$400)</f>
        <v>105.4</v>
      </c>
      <c r="AG357" s="153">
        <f>SUMIF(Comp!$A$75:$A$400,Areas!A357,Comp!$G$75:$G$400)</f>
        <v>105.4</v>
      </c>
      <c r="AH357" s="153"/>
      <c r="AI357" s="153"/>
      <c r="AK357" s="133"/>
    </row>
    <row r="358" spans="1:37" s="148" customFormat="1">
      <c r="A358" s="146" t="s">
        <v>949</v>
      </c>
      <c r="B358" s="148" t="str">
        <f>Comp!B302</f>
        <v>ROLL STABILIZATION</v>
      </c>
      <c r="C358" s="147">
        <f t="shared" ref="C358:F358" si="116">S358</f>
        <v>90.118140459850594</v>
      </c>
      <c r="D358" s="147">
        <f t="shared" si="116"/>
        <v>0</v>
      </c>
      <c r="E358" s="147">
        <f t="shared" si="116"/>
        <v>106.46947316184411</v>
      </c>
      <c r="F358" s="147">
        <f t="shared" si="116"/>
        <v>0</v>
      </c>
      <c r="G358" s="411"/>
      <c r="H358" s="411"/>
      <c r="I358" s="411"/>
      <c r="J358" s="411"/>
      <c r="K358" s="411"/>
      <c r="L358" s="411"/>
      <c r="M358" s="411"/>
      <c r="N358" s="411"/>
      <c r="O358" s="411"/>
      <c r="P358" s="147">
        <f t="shared" si="114"/>
        <v>0</v>
      </c>
      <c r="Q358" s="147">
        <f t="shared" si="115"/>
        <v>0</v>
      </c>
      <c r="S358" s="155">
        <f>SUMIF('Flt III'!D:D,A358,'Flt III'!E:E)/3.2808^2</f>
        <v>90.118140459850594</v>
      </c>
      <c r="T358" s="155">
        <f>SUMIF('Flt IIa'!A:A,A358,'Flt IIa'!E:E)/3.2808^2</f>
        <v>0</v>
      </c>
      <c r="U358" s="155">
        <f>SUMIF('OPC Des'!A:A,A358,'OPC Des'!F:F)/3.2808^2</f>
        <v>106.46947316184411</v>
      </c>
      <c r="V358" s="155">
        <f>SUMIF('LCS 5'!A:A,A358,'LCS 5'!E:E)</f>
        <v>0</v>
      </c>
      <c r="W358" s="155">
        <f>SUMIF('USCG Summary'!$A$25:$A$50,A358,'USCG Summary'!$D$25:$D$50)/3.2808^2</f>
        <v>0</v>
      </c>
      <c r="X358" s="153">
        <f>SUMIF('USCG Summary'!$A$25:$A$50,A358,'USCG Summary'!$I$25:$I$50)/3.2808^2</f>
        <v>0</v>
      </c>
      <c r="Y358" s="153">
        <f>SUMIF('USCG Summary'!$A$25:$A$50,A358,'USCG Summary'!$L$25:$L$50)/3.2808^2</f>
        <v>0</v>
      </c>
      <c r="Z358" s="153">
        <f>SUMIF('USCG Summary'!$A$25:$A$50,A358,'USCG Summary'!$O$25:$O$50)/3.2808^2</f>
        <v>0</v>
      </c>
      <c r="AA358" s="153">
        <f>SUMIF('USCG Summary'!$A$25:$A$50,A358,'USCG Summary'!$P$25:$P$50)/3.2808^2</f>
        <v>0</v>
      </c>
      <c r="AB358" s="153">
        <f>SUMIF('USCG Summary'!$A$25:$A$50,A358,'USCG Summary'!$Q$25:$Q$50)/3.2808^2</f>
        <v>0</v>
      </c>
      <c r="AC358" s="153">
        <f>SUMIF('USCG Summary'!$A$25:$A$50,A358,'USCG Summary'!$T$25:$T$50)/3.2808^2</f>
        <v>0</v>
      </c>
      <c r="AD358" s="153">
        <f>SUMIF('USCG Summary'!$A$25:$A$50,A358,'USCG Summary'!$W$25:$W$50)/3.2808^2</f>
        <v>0</v>
      </c>
      <c r="AE358" s="153">
        <f>SUMIF('USCG Summary'!$A$25:$A$50,A358,'USCG Summary'!$Z$25:$Z$50)/3.2808^2</f>
        <v>0</v>
      </c>
      <c r="AF358" s="155">
        <f>SUMIF(Comp!$A$75:$A$400,Areas!A358,Comp!$F$75:$F$400)</f>
        <v>0</v>
      </c>
      <c r="AG358" s="155">
        <f>SUMIF(Comp!$A$75:$A$400,Areas!A358,Comp!$G$75:$G$400)</f>
        <v>0</v>
      </c>
      <c r="AH358" s="155"/>
      <c r="AI358" s="155"/>
      <c r="AK358" s="147"/>
    </row>
    <row r="359" spans="1:37" s="134" customFormat="1">
      <c r="A359" s="140">
        <v>3.12</v>
      </c>
      <c r="B359" s="134" t="str">
        <f>Comp!B303</f>
        <v>STEERING CONTROL</v>
      </c>
      <c r="C359" s="149">
        <f t="shared" ref="C359:F360" si="117">S359</f>
        <v>0</v>
      </c>
      <c r="D359" s="149">
        <f t="shared" si="117"/>
        <v>0</v>
      </c>
      <c r="E359" s="149">
        <f t="shared" si="117"/>
        <v>0</v>
      </c>
      <c r="F359" s="149">
        <f t="shared" si="117"/>
        <v>0</v>
      </c>
      <c r="G359" s="409"/>
      <c r="H359" s="409"/>
      <c r="I359" s="409"/>
      <c r="J359" s="409"/>
      <c r="K359" s="409"/>
      <c r="L359" s="409"/>
      <c r="M359" s="409"/>
      <c r="N359" s="409"/>
      <c r="O359" s="409"/>
      <c r="P359" s="149">
        <f t="shared" si="114"/>
        <v>0</v>
      </c>
      <c r="Q359" s="149">
        <f t="shared" si="115"/>
        <v>0</v>
      </c>
      <c r="S359" s="153">
        <f>SUMIF('Flt III'!D:D,A359,'Flt III'!E:E)/3.2808^2</f>
        <v>0</v>
      </c>
      <c r="T359" s="153">
        <f>SUMIF('Flt IIa'!A:A,A359,'Flt IIa'!E:E)/3.2808^2</f>
        <v>0</v>
      </c>
      <c r="U359" s="153">
        <f>SUMIF('OPC Des'!A:A,A359,'OPC Des'!F:F)/3.2808^2</f>
        <v>0</v>
      </c>
      <c r="V359" s="153">
        <f>SUMIF('LCS 5'!A:A,A359,'LCS 5'!E:E)</f>
        <v>0</v>
      </c>
      <c r="W359" s="153">
        <f>SUMIF('USCG Summary'!$A$25:$A$50,A359,'USCG Summary'!$D$25:$D$50)/3.2808^2</f>
        <v>0</v>
      </c>
      <c r="X359" s="153">
        <f>SUMIF('USCG Summary'!$A$25:$A$50,A359,'USCG Summary'!$I$25:$I$50)/3.2808^2</f>
        <v>0</v>
      </c>
      <c r="Y359" s="153">
        <f>SUMIF('USCG Summary'!$A$25:$A$50,A359,'USCG Summary'!$L$25:$L$50)/3.2808^2</f>
        <v>0</v>
      </c>
      <c r="Z359" s="153">
        <f>SUMIF('USCG Summary'!$A$25:$A$50,A359,'USCG Summary'!$O$25:$O$50)/3.2808^2</f>
        <v>0</v>
      </c>
      <c r="AA359" s="153">
        <f>SUMIF('USCG Summary'!$A$25:$A$50,A359,'USCG Summary'!$P$25:$P$50)/3.2808^2</f>
        <v>0</v>
      </c>
      <c r="AB359" s="153">
        <f>SUMIF('USCG Summary'!$A$25:$A$50,A359,'USCG Summary'!$Q$25:$Q$50)/3.2808^2</f>
        <v>0</v>
      </c>
      <c r="AC359" s="153">
        <f>SUMIF('USCG Summary'!$A$25:$A$50,A359,'USCG Summary'!$T$25:$T$50)/3.2808^2</f>
        <v>0</v>
      </c>
      <c r="AD359" s="153">
        <f>SUMIF('USCG Summary'!$A$25:$A$50,A359,'USCG Summary'!$W$25:$W$50)/3.2808^2</f>
        <v>0</v>
      </c>
      <c r="AE359" s="153">
        <f>SUMIF('USCG Summary'!$A$25:$A$50,A359,'USCG Summary'!$Z$25:$Z$50)/3.2808^2</f>
        <v>0</v>
      </c>
      <c r="AF359" s="153">
        <f>SUMIF(Comp!$A$75:$A$400,Areas!A359,Comp!$F$75:$F$400)</f>
        <v>0</v>
      </c>
      <c r="AG359" s="153">
        <f>SUMIF(Comp!$A$75:$A$400,Areas!A359,Comp!$G$75:$G$400)</f>
        <v>0</v>
      </c>
      <c r="AH359" s="153"/>
      <c r="AI359" s="153"/>
      <c r="AK359" s="133"/>
    </row>
    <row r="360" spans="1:37" s="134" customFormat="1">
      <c r="A360" s="140">
        <v>3.15</v>
      </c>
      <c r="C360" s="149">
        <f t="shared" si="117"/>
        <v>0</v>
      </c>
      <c r="D360" s="149">
        <f t="shared" si="117"/>
        <v>0</v>
      </c>
      <c r="E360" s="149">
        <f t="shared" si="117"/>
        <v>0</v>
      </c>
      <c r="F360" s="149">
        <f t="shared" si="117"/>
        <v>0</v>
      </c>
      <c r="G360" s="409"/>
      <c r="H360" s="409"/>
      <c r="I360" s="409"/>
      <c r="J360" s="409"/>
      <c r="K360" s="409"/>
      <c r="L360" s="409"/>
      <c r="M360" s="409"/>
      <c r="N360" s="409"/>
      <c r="O360" s="409"/>
      <c r="P360" s="149">
        <f t="shared" si="114"/>
        <v>0</v>
      </c>
      <c r="Q360" s="149">
        <f t="shared" si="115"/>
        <v>0</v>
      </c>
      <c r="S360" s="153">
        <f>SUMIF('Flt III'!D:D,A360,'Flt III'!E:E)/3.2808^2</f>
        <v>0</v>
      </c>
      <c r="T360" s="153">
        <f>SUMIF('Flt IIa'!A:A,A360,'Flt IIa'!E:E)/3.2808^2</f>
        <v>0</v>
      </c>
      <c r="U360" s="153">
        <f>SUMIF('OPC Des'!A:A,A360,'OPC Des'!F:F)/3.2808^2</f>
        <v>0</v>
      </c>
      <c r="V360" s="153">
        <f>SUMIF('LCS 5'!A:A,A360,'LCS 5'!E:E)</f>
        <v>0</v>
      </c>
      <c r="W360" s="153">
        <f>SUMIF('USCG Summary'!$A$25:$A$50,A360,'USCG Summary'!$D$25:$D$50)/3.2808^2</f>
        <v>0</v>
      </c>
      <c r="X360" s="153">
        <f>SUMIF('USCG Summary'!$A$25:$A$50,A360,'USCG Summary'!$I$25:$I$50)/3.2808^2</f>
        <v>0</v>
      </c>
      <c r="Y360" s="153">
        <f>SUMIF('USCG Summary'!$A$25:$A$50,A360,'USCG Summary'!$L$25:$L$50)/3.2808^2</f>
        <v>0</v>
      </c>
      <c r="Z360" s="153">
        <f>SUMIF('USCG Summary'!$A$25:$A$50,A360,'USCG Summary'!$O$25:$O$50)/3.2808^2</f>
        <v>0</v>
      </c>
      <c r="AA360" s="153">
        <f>SUMIF('USCG Summary'!$A$25:$A$50,A360,'USCG Summary'!$P$25:$P$50)/3.2808^2</f>
        <v>0</v>
      </c>
      <c r="AB360" s="153">
        <f>SUMIF('USCG Summary'!$A$25:$A$50,A360,'USCG Summary'!$Q$25:$Q$50)/3.2808^2</f>
        <v>0</v>
      </c>
      <c r="AC360" s="153">
        <f>SUMIF('USCG Summary'!$A$25:$A$50,A360,'USCG Summary'!$T$25:$T$50)/3.2808^2</f>
        <v>0</v>
      </c>
      <c r="AD360" s="153">
        <f>SUMIF('USCG Summary'!$A$25:$A$50,A360,'USCG Summary'!$W$25:$W$50)/3.2808^2</f>
        <v>0</v>
      </c>
      <c r="AE360" s="153">
        <f>SUMIF('USCG Summary'!$A$25:$A$50,A360,'USCG Summary'!$Z$25:$Z$50)/3.2808^2</f>
        <v>0</v>
      </c>
      <c r="AF360" s="153">
        <f>SUMIF(Comp!$A$75:$A$400,Areas!A360,Comp!$F$75:$F$400)</f>
        <v>0</v>
      </c>
      <c r="AG360" s="153">
        <f>SUMIF(Comp!$A$75:$A$400,Areas!A360,Comp!$G$75:$G$400)</f>
        <v>0</v>
      </c>
      <c r="AH360" s="153"/>
      <c r="AI360" s="153"/>
      <c r="AK360" s="133"/>
    </row>
    <row r="361" spans="1:37" s="139" customFormat="1">
      <c r="A361" s="137">
        <v>3.2</v>
      </c>
      <c r="B361" s="139" t="str">
        <f>Comp!B304</f>
        <v>DAMAGE CONTROL</v>
      </c>
      <c r="C361" s="150">
        <f>C362+C363</f>
        <v>43.758396037721269</v>
      </c>
      <c r="D361" s="150">
        <f>D362+D363</f>
        <v>109.53534804346789</v>
      </c>
      <c r="E361" s="150">
        <f>E362+E363</f>
        <v>19.603018182503583</v>
      </c>
      <c r="F361" s="150">
        <f>F362+F363</f>
        <v>16.79</v>
      </c>
      <c r="G361" s="406">
        <f>W361</f>
        <v>0</v>
      </c>
      <c r="H361" s="406">
        <f t="shared" ref="H361:O361" si="118">X361</f>
        <v>0</v>
      </c>
      <c r="I361" s="406">
        <f t="shared" si="118"/>
        <v>0</v>
      </c>
      <c r="J361" s="406">
        <f t="shared" si="118"/>
        <v>0</v>
      </c>
      <c r="K361" s="406">
        <f t="shared" si="118"/>
        <v>0</v>
      </c>
      <c r="L361" s="406">
        <f t="shared" si="118"/>
        <v>0</v>
      </c>
      <c r="M361" s="406">
        <f t="shared" si="118"/>
        <v>0</v>
      </c>
      <c r="N361" s="406">
        <f t="shared" si="118"/>
        <v>0</v>
      </c>
      <c r="O361" s="406">
        <f t="shared" si="118"/>
        <v>0</v>
      </c>
      <c r="P361" s="138">
        <f t="shared" si="114"/>
        <v>96.2</v>
      </c>
      <c r="Q361" s="138">
        <f t="shared" si="115"/>
        <v>96.7</v>
      </c>
      <c r="S361" s="152">
        <f>SUMIF('Flt III'!D:D,A361,'Flt III'!E:E)/3.2808^2</f>
        <v>0</v>
      </c>
      <c r="T361" s="152">
        <f>SUMIF('Flt IIa'!A:A,A361,'Flt IIa'!E:E)/3.2808^2</f>
        <v>0</v>
      </c>
      <c r="U361" s="152">
        <f>SUMIF('OPC Des'!A:A,A361,'OPC Des'!F:F)/3.2808^2</f>
        <v>0</v>
      </c>
      <c r="V361" s="152">
        <f>SUMIF('LCS 5'!A:A,A361,'LCS 5'!E:E)</f>
        <v>0</v>
      </c>
      <c r="W361" s="152">
        <f>SUMIF('USCG Summary'!$A$25:$A$50,A361,'USCG Summary'!$D$25:$D$50)/3.2808^2</f>
        <v>0</v>
      </c>
      <c r="X361" s="153">
        <f>SUMIF('USCG Summary'!$A$25:$A$50,A361,'USCG Summary'!$I$25:$I$50)/3.2808^2</f>
        <v>0</v>
      </c>
      <c r="Y361" s="153">
        <f>SUMIF('USCG Summary'!$A$25:$A$50,A361,'USCG Summary'!$L$25:$L$50)/3.2808^2</f>
        <v>0</v>
      </c>
      <c r="Z361" s="153">
        <f>SUMIF('USCG Summary'!$A$25:$A$50,A361,'USCG Summary'!$O$25:$O$50)/3.2808^2</f>
        <v>0</v>
      </c>
      <c r="AA361" s="153">
        <f>SUMIF('USCG Summary'!$A$25:$A$50,A361,'USCG Summary'!$P$25:$P$50)/3.2808^2</f>
        <v>0</v>
      </c>
      <c r="AB361" s="153">
        <f>SUMIF('USCG Summary'!$A$25:$A$50,A361,'USCG Summary'!$Q$25:$Q$50)/3.2808^2</f>
        <v>0</v>
      </c>
      <c r="AC361" s="153">
        <f>SUMIF('USCG Summary'!$A$25:$A$50,A361,'USCG Summary'!$T$25:$T$50)/3.2808^2</f>
        <v>0</v>
      </c>
      <c r="AD361" s="153">
        <f>SUMIF('USCG Summary'!$A$25:$A$50,A361,'USCG Summary'!$W$25:$W$50)/3.2808^2</f>
        <v>0</v>
      </c>
      <c r="AE361" s="153">
        <f>SUMIF('USCG Summary'!$A$25:$A$50,A361,'USCG Summary'!$Z$25:$Z$50)/3.2808^2</f>
        <v>0</v>
      </c>
      <c r="AF361" s="152">
        <f>SUMIF(Comp!$A$75:$A$400,Areas!A361,Comp!$F$75:$F$400)</f>
        <v>96.2</v>
      </c>
      <c r="AG361" s="152">
        <f>SUMIF(Comp!$A$75:$A$400,Areas!A361,Comp!$G$75:$G$400)</f>
        <v>96.7</v>
      </c>
      <c r="AH361" s="152"/>
      <c r="AI361" s="152"/>
      <c r="AK361" s="138"/>
    </row>
    <row r="362" spans="1:37" s="134" customFormat="1">
      <c r="A362" s="140">
        <v>3.21</v>
      </c>
      <c r="B362" s="134" t="str">
        <f>Comp!B305</f>
        <v>DAMAGE CNTRL CENTRAL</v>
      </c>
      <c r="C362" s="149">
        <f>S362</f>
        <v>0</v>
      </c>
      <c r="D362" s="149">
        <f>T362</f>
        <v>51.84115708927488</v>
      </c>
      <c r="E362" s="149">
        <f>U362</f>
        <v>0</v>
      </c>
      <c r="F362" s="149">
        <f>V362</f>
        <v>0</v>
      </c>
      <c r="G362" s="409"/>
      <c r="H362" s="409"/>
      <c r="I362" s="409"/>
      <c r="J362" s="409"/>
      <c r="K362" s="409"/>
      <c r="L362" s="409"/>
      <c r="M362" s="409"/>
      <c r="N362" s="409"/>
      <c r="O362" s="409"/>
      <c r="P362" s="149">
        <f t="shared" si="114"/>
        <v>0</v>
      </c>
      <c r="Q362" s="149">
        <f t="shared" si="115"/>
        <v>0</v>
      </c>
      <c r="S362" s="153">
        <f>SUMIF('Flt III'!D:D,A362,'Flt III'!E:E)/3.2808^2</f>
        <v>0</v>
      </c>
      <c r="T362" s="153">
        <f>SUMIF('Flt IIa'!A:A,A362,'Flt IIa'!E:E)/3.2808^2</f>
        <v>51.84115708927488</v>
      </c>
      <c r="U362" s="153">
        <f>SUMIF('OPC Des'!A:A,A362,'OPC Des'!F:F)/3.2808^2</f>
        <v>0</v>
      </c>
      <c r="V362" s="153">
        <f>SUMIF('LCS 5'!A:A,A362,'LCS 5'!E:E)</f>
        <v>0</v>
      </c>
      <c r="W362" s="153">
        <f>SUMIF('USCG Summary'!$A$25:$A$50,A362,'USCG Summary'!$D$25:$D$50)/3.2808^2</f>
        <v>0</v>
      </c>
      <c r="X362" s="153">
        <f>SUMIF('USCG Summary'!$A$25:$A$50,A362,'USCG Summary'!$I$25:$I$50)/3.2808^2</f>
        <v>0</v>
      </c>
      <c r="Y362" s="153">
        <f>SUMIF('USCG Summary'!$A$25:$A$50,A362,'USCG Summary'!$L$25:$L$50)/3.2808^2</f>
        <v>0</v>
      </c>
      <c r="Z362" s="153">
        <f>SUMIF('USCG Summary'!$A$25:$A$50,A362,'USCG Summary'!$O$25:$O$50)/3.2808^2</f>
        <v>0</v>
      </c>
      <c r="AA362" s="153">
        <f>SUMIF('USCG Summary'!$A$25:$A$50,A362,'USCG Summary'!$P$25:$P$50)/3.2808^2</f>
        <v>0</v>
      </c>
      <c r="AB362" s="153">
        <f>SUMIF('USCG Summary'!$A$25:$A$50,A362,'USCG Summary'!$Q$25:$Q$50)/3.2808^2</f>
        <v>0</v>
      </c>
      <c r="AC362" s="153">
        <f>SUMIF('USCG Summary'!$A$25:$A$50,A362,'USCG Summary'!$T$25:$T$50)/3.2808^2</f>
        <v>0</v>
      </c>
      <c r="AD362" s="153">
        <f>SUMIF('USCG Summary'!$A$25:$A$50,A362,'USCG Summary'!$W$25:$W$50)/3.2808^2</f>
        <v>0</v>
      </c>
      <c r="AE362" s="153">
        <f>SUMIF('USCG Summary'!$A$25:$A$50,A362,'USCG Summary'!$Z$25:$Z$50)/3.2808^2</f>
        <v>0</v>
      </c>
      <c r="AF362" s="153">
        <f>SUMIF(Comp!$A$75:$A$400,Areas!A362,Comp!$F$75:$F$400)</f>
        <v>0</v>
      </c>
      <c r="AG362" s="153">
        <f>SUMIF(Comp!$A$75:$A$400,Areas!A362,Comp!$G$75:$G$400)</f>
        <v>0</v>
      </c>
      <c r="AH362" s="153"/>
      <c r="AI362" s="153"/>
      <c r="AK362" s="133"/>
    </row>
    <row r="363" spans="1:37" s="134" customFormat="1">
      <c r="A363" s="140">
        <v>3.22</v>
      </c>
      <c r="B363" s="134" t="str">
        <f>Comp!B306</f>
        <v>REPAIR STATIONS</v>
      </c>
      <c r="C363" s="149">
        <f>SUM(C364:C367)</f>
        <v>43.758396037721269</v>
      </c>
      <c r="D363" s="149">
        <f>T363</f>
        <v>57.694190954193012</v>
      </c>
      <c r="E363" s="149">
        <f>U363</f>
        <v>19.603018182503583</v>
      </c>
      <c r="F363" s="149">
        <f>SUM(F364:F367)</f>
        <v>16.79</v>
      </c>
      <c r="G363" s="409"/>
      <c r="H363" s="409"/>
      <c r="I363" s="409"/>
      <c r="J363" s="409"/>
      <c r="K363" s="409"/>
      <c r="L363" s="409"/>
      <c r="M363" s="409"/>
      <c r="N363" s="409"/>
      <c r="O363" s="409"/>
      <c r="P363" s="149">
        <f t="shared" si="114"/>
        <v>55.2</v>
      </c>
      <c r="Q363" s="149">
        <f t="shared" si="115"/>
        <v>55.7</v>
      </c>
      <c r="S363" s="153">
        <f>SUMIF('Flt III'!D:D,A363,'Flt III'!E:E)/3.2808^2</f>
        <v>0</v>
      </c>
      <c r="T363" s="153">
        <f>SUMIF('Flt IIa'!A:A,A363,'Flt IIa'!E:E)/3.2808^2</f>
        <v>57.694190954193012</v>
      </c>
      <c r="U363" s="153">
        <f>SUMIF('OPC Des'!A:A,A363,'OPC Des'!F:F)/3.2808^2</f>
        <v>19.603018182503583</v>
      </c>
      <c r="V363" s="153">
        <f>SUMIF('LCS 5'!A:A,A363,'LCS 5'!E:E)</f>
        <v>0</v>
      </c>
      <c r="W363" s="153">
        <f>SUMIF('USCG Summary'!$A$25:$A$50,A363,'USCG Summary'!$D$25:$D$50)/3.2808^2</f>
        <v>0</v>
      </c>
      <c r="X363" s="153">
        <f>SUMIF('USCG Summary'!$A$25:$A$50,A363,'USCG Summary'!$I$25:$I$50)/3.2808^2</f>
        <v>0</v>
      </c>
      <c r="Y363" s="153">
        <f>SUMIF('USCG Summary'!$A$25:$A$50,A363,'USCG Summary'!$L$25:$L$50)/3.2808^2</f>
        <v>0</v>
      </c>
      <c r="Z363" s="153">
        <f>SUMIF('USCG Summary'!$A$25:$A$50,A363,'USCG Summary'!$O$25:$O$50)/3.2808^2</f>
        <v>0</v>
      </c>
      <c r="AA363" s="153">
        <f>SUMIF('USCG Summary'!$A$25:$A$50,A363,'USCG Summary'!$P$25:$P$50)/3.2808^2</f>
        <v>0</v>
      </c>
      <c r="AB363" s="153">
        <f>SUMIF('USCG Summary'!$A$25:$A$50,A363,'USCG Summary'!$Q$25:$Q$50)/3.2808^2</f>
        <v>0</v>
      </c>
      <c r="AC363" s="153">
        <f>SUMIF('USCG Summary'!$A$25:$A$50,A363,'USCG Summary'!$T$25:$T$50)/3.2808^2</f>
        <v>0</v>
      </c>
      <c r="AD363" s="153">
        <f>SUMIF('USCG Summary'!$A$25:$A$50,A363,'USCG Summary'!$W$25:$W$50)/3.2808^2</f>
        <v>0</v>
      </c>
      <c r="AE363" s="153">
        <f>SUMIF('USCG Summary'!$A$25:$A$50,A363,'USCG Summary'!$Z$25:$Z$50)/3.2808^2</f>
        <v>0</v>
      </c>
      <c r="AF363" s="153">
        <f>SUMIF(Comp!$A$75:$A$400,Areas!A363,Comp!$F$75:$F$400)</f>
        <v>55.2</v>
      </c>
      <c r="AG363" s="153">
        <f>SUMIF(Comp!$A$75:$A$400,Areas!A363,Comp!$G$75:$G$400)</f>
        <v>55.7</v>
      </c>
      <c r="AH363" s="153"/>
      <c r="AI363" s="153"/>
      <c r="AK363" s="133"/>
    </row>
    <row r="364" spans="1:37" s="148" customFormat="1">
      <c r="A364" s="146" t="s">
        <v>945</v>
      </c>
      <c r="C364" s="147">
        <f t="shared" ref="C364:F367" si="119">S364</f>
        <v>15.422279707562062</v>
      </c>
      <c r="D364" s="147">
        <f t="shared" si="119"/>
        <v>0</v>
      </c>
      <c r="E364" s="147">
        <f t="shared" si="119"/>
        <v>0</v>
      </c>
      <c r="F364" s="147">
        <f t="shared" si="119"/>
        <v>12.38</v>
      </c>
      <c r="G364" s="411"/>
      <c r="H364" s="411"/>
      <c r="I364" s="411"/>
      <c r="J364" s="411"/>
      <c r="K364" s="411"/>
      <c r="L364" s="411"/>
      <c r="M364" s="411"/>
      <c r="N364" s="411"/>
      <c r="O364" s="411"/>
      <c r="P364" s="147">
        <f t="shared" si="114"/>
        <v>0</v>
      </c>
      <c r="Q364" s="147">
        <f t="shared" si="115"/>
        <v>0</v>
      </c>
      <c r="S364" s="155">
        <f>SUMIF('Flt III'!D:D,A364,'Flt III'!E:E)/3.2808^2</f>
        <v>15.422279707562062</v>
      </c>
      <c r="T364" s="155">
        <f>SUMIF('Flt IIa'!A:A,A364,'Flt IIa'!E:E)/3.2808^2</f>
        <v>0</v>
      </c>
      <c r="U364" s="155">
        <f>SUMIF('OPC Des'!A:A,A364,'OPC Des'!F:F)/3.2808^2</f>
        <v>0</v>
      </c>
      <c r="V364" s="155">
        <f>SUMIF('LCS 5'!A:A,A364,'LCS 5'!E:E)</f>
        <v>12.38</v>
      </c>
      <c r="W364" s="155">
        <f>SUMIF('USCG Summary'!$A$25:$A$50,A364,'USCG Summary'!$D$25:$D$50)/3.2808^2</f>
        <v>0</v>
      </c>
      <c r="X364" s="153">
        <f>SUMIF('USCG Summary'!$A$25:$A$50,A364,'USCG Summary'!$I$25:$I$50)/3.2808^2</f>
        <v>0</v>
      </c>
      <c r="Y364" s="153">
        <f>SUMIF('USCG Summary'!$A$25:$A$50,A364,'USCG Summary'!$L$25:$L$50)/3.2808^2</f>
        <v>0</v>
      </c>
      <c r="Z364" s="153">
        <f>SUMIF('USCG Summary'!$A$25:$A$50,A364,'USCG Summary'!$O$25:$O$50)/3.2808^2</f>
        <v>0</v>
      </c>
      <c r="AA364" s="153">
        <f>SUMIF('USCG Summary'!$A$25:$A$50,A364,'USCG Summary'!$P$25:$P$50)/3.2808^2</f>
        <v>0</v>
      </c>
      <c r="AB364" s="153">
        <f>SUMIF('USCG Summary'!$A$25:$A$50,A364,'USCG Summary'!$Q$25:$Q$50)/3.2808^2</f>
        <v>0</v>
      </c>
      <c r="AC364" s="153">
        <f>SUMIF('USCG Summary'!$A$25:$A$50,A364,'USCG Summary'!$T$25:$T$50)/3.2808^2</f>
        <v>0</v>
      </c>
      <c r="AD364" s="153">
        <f>SUMIF('USCG Summary'!$A$25:$A$50,A364,'USCG Summary'!$W$25:$W$50)/3.2808^2</f>
        <v>0</v>
      </c>
      <c r="AE364" s="153">
        <f>SUMIF('USCG Summary'!$A$25:$A$50,A364,'USCG Summary'!$Z$25:$Z$50)/3.2808^2</f>
        <v>0</v>
      </c>
      <c r="AF364" s="155">
        <f>SUMIF(Comp!$A$75:$A$400,Areas!A364,Comp!$F$75:$F$400)</f>
        <v>0</v>
      </c>
      <c r="AG364" s="155">
        <f>SUMIF(Comp!$A$75:$A$400,Areas!A364,Comp!$G$75:$G$400)</f>
        <v>0</v>
      </c>
      <c r="AH364" s="155"/>
      <c r="AI364" s="155"/>
      <c r="AK364" s="147"/>
    </row>
    <row r="365" spans="1:37" s="148" customFormat="1">
      <c r="A365" s="146" t="s">
        <v>942</v>
      </c>
      <c r="C365" s="147">
        <f t="shared" si="119"/>
        <v>10.86992003484796</v>
      </c>
      <c r="D365" s="147">
        <f t="shared" si="119"/>
        <v>0</v>
      </c>
      <c r="E365" s="147">
        <f t="shared" si="119"/>
        <v>0</v>
      </c>
      <c r="F365" s="147">
        <f t="shared" si="119"/>
        <v>0</v>
      </c>
      <c r="G365" s="411"/>
      <c r="H365" s="411"/>
      <c r="I365" s="411"/>
      <c r="J365" s="411"/>
      <c r="K365" s="411"/>
      <c r="L365" s="411"/>
      <c r="M365" s="411"/>
      <c r="N365" s="411"/>
      <c r="O365" s="411"/>
      <c r="P365" s="147">
        <f t="shared" si="114"/>
        <v>0</v>
      </c>
      <c r="Q365" s="147">
        <f t="shared" si="115"/>
        <v>0</v>
      </c>
      <c r="S365" s="155">
        <f>SUMIF('Flt III'!D:D,A365,'Flt III'!E:E)/3.2808^2</f>
        <v>10.86992003484796</v>
      </c>
      <c r="T365" s="155">
        <f>SUMIF('Flt IIa'!A:A,A365,'Flt IIa'!E:E)/3.2808^2</f>
        <v>0</v>
      </c>
      <c r="U365" s="155">
        <f>SUMIF('OPC Des'!A:A,A365,'OPC Des'!F:F)/3.2808^2</f>
        <v>0</v>
      </c>
      <c r="V365" s="155">
        <f>SUMIF('LCS 5'!A:A,A365,'LCS 5'!E:E)</f>
        <v>0</v>
      </c>
      <c r="W365" s="155">
        <f>SUMIF('USCG Summary'!$A$25:$A$50,A365,'USCG Summary'!$D$25:$D$50)/3.2808^2</f>
        <v>0</v>
      </c>
      <c r="X365" s="153">
        <f>SUMIF('USCG Summary'!$A$25:$A$50,A365,'USCG Summary'!$I$25:$I$50)/3.2808^2</f>
        <v>0</v>
      </c>
      <c r="Y365" s="153">
        <f>SUMIF('USCG Summary'!$A$25:$A$50,A365,'USCG Summary'!$L$25:$L$50)/3.2808^2</f>
        <v>0</v>
      </c>
      <c r="Z365" s="153">
        <f>SUMIF('USCG Summary'!$A$25:$A$50,A365,'USCG Summary'!$O$25:$O$50)/3.2808^2</f>
        <v>0</v>
      </c>
      <c r="AA365" s="153">
        <f>SUMIF('USCG Summary'!$A$25:$A$50,A365,'USCG Summary'!$P$25:$P$50)/3.2808^2</f>
        <v>0</v>
      </c>
      <c r="AB365" s="153">
        <f>SUMIF('USCG Summary'!$A$25:$A$50,A365,'USCG Summary'!$Q$25:$Q$50)/3.2808^2</f>
        <v>0</v>
      </c>
      <c r="AC365" s="153">
        <f>SUMIF('USCG Summary'!$A$25:$A$50,A365,'USCG Summary'!$T$25:$T$50)/3.2808^2</f>
        <v>0</v>
      </c>
      <c r="AD365" s="153">
        <f>SUMIF('USCG Summary'!$A$25:$A$50,A365,'USCG Summary'!$W$25:$W$50)/3.2808^2</f>
        <v>0</v>
      </c>
      <c r="AE365" s="153">
        <f>SUMIF('USCG Summary'!$A$25:$A$50,A365,'USCG Summary'!$Z$25:$Z$50)/3.2808^2</f>
        <v>0</v>
      </c>
      <c r="AF365" s="155">
        <f>SUMIF(Comp!$A$75:$A$400,Areas!A365,Comp!$F$75:$F$400)</f>
        <v>0</v>
      </c>
      <c r="AG365" s="155">
        <f>SUMIF(Comp!$A$75:$A$400,Areas!A365,Comp!$G$75:$G$400)</f>
        <v>0</v>
      </c>
      <c r="AH365" s="155"/>
      <c r="AI365" s="155"/>
      <c r="AK365" s="147"/>
    </row>
    <row r="366" spans="1:37" s="148" customFormat="1">
      <c r="A366" s="146" t="s">
        <v>939</v>
      </c>
      <c r="C366" s="147">
        <f t="shared" si="119"/>
        <v>3.716211977725798</v>
      </c>
      <c r="D366" s="147">
        <f t="shared" si="119"/>
        <v>0</v>
      </c>
      <c r="E366" s="147">
        <f t="shared" si="119"/>
        <v>6.3175603621338565</v>
      </c>
      <c r="F366" s="147">
        <f t="shared" si="119"/>
        <v>4.41</v>
      </c>
      <c r="G366" s="411"/>
      <c r="H366" s="411"/>
      <c r="I366" s="411"/>
      <c r="J366" s="411"/>
      <c r="K366" s="411"/>
      <c r="L366" s="411"/>
      <c r="M366" s="411"/>
      <c r="N366" s="411"/>
      <c r="O366" s="411"/>
      <c r="P366" s="147">
        <f t="shared" si="114"/>
        <v>0</v>
      </c>
      <c r="Q366" s="147">
        <f t="shared" si="115"/>
        <v>0</v>
      </c>
      <c r="S366" s="155">
        <f>SUMIF('Flt III'!D:D,A366,'Flt III'!E:E)/3.2808^2</f>
        <v>3.716211977725798</v>
      </c>
      <c r="T366" s="155">
        <f>SUMIF('Flt IIa'!A:A,A366,'Flt IIa'!E:E)/3.2808^2</f>
        <v>0</v>
      </c>
      <c r="U366" s="155">
        <f>SUMIF('OPC Des'!A:A,A366,'OPC Des'!F:F)/3.2808^2</f>
        <v>6.3175603621338565</v>
      </c>
      <c r="V366" s="155">
        <f>SUMIF('LCS 5'!A:A,A366,'LCS 5'!E:E)</f>
        <v>4.41</v>
      </c>
      <c r="W366" s="155">
        <f>SUMIF('USCG Summary'!$A$25:$A$50,A366,'USCG Summary'!$D$25:$D$50)/3.2808^2</f>
        <v>0</v>
      </c>
      <c r="X366" s="153">
        <f>SUMIF('USCG Summary'!$A$25:$A$50,A366,'USCG Summary'!$I$25:$I$50)/3.2808^2</f>
        <v>0</v>
      </c>
      <c r="Y366" s="153">
        <f>SUMIF('USCG Summary'!$A$25:$A$50,A366,'USCG Summary'!$L$25:$L$50)/3.2808^2</f>
        <v>0</v>
      </c>
      <c r="Z366" s="153">
        <f>SUMIF('USCG Summary'!$A$25:$A$50,A366,'USCG Summary'!$O$25:$O$50)/3.2808^2</f>
        <v>0</v>
      </c>
      <c r="AA366" s="153">
        <f>SUMIF('USCG Summary'!$A$25:$A$50,A366,'USCG Summary'!$P$25:$P$50)/3.2808^2</f>
        <v>0</v>
      </c>
      <c r="AB366" s="153">
        <f>SUMIF('USCG Summary'!$A$25:$A$50,A366,'USCG Summary'!$Q$25:$Q$50)/3.2808^2</f>
        <v>0</v>
      </c>
      <c r="AC366" s="153">
        <f>SUMIF('USCG Summary'!$A$25:$A$50,A366,'USCG Summary'!$T$25:$T$50)/3.2808^2</f>
        <v>0</v>
      </c>
      <c r="AD366" s="153">
        <f>SUMIF('USCG Summary'!$A$25:$A$50,A366,'USCG Summary'!$W$25:$W$50)/3.2808^2</f>
        <v>0</v>
      </c>
      <c r="AE366" s="153">
        <f>SUMIF('USCG Summary'!$A$25:$A$50,A366,'USCG Summary'!$Z$25:$Z$50)/3.2808^2</f>
        <v>0</v>
      </c>
      <c r="AF366" s="155">
        <f>SUMIF(Comp!$A$75:$A$400,Areas!A366,Comp!$F$75:$F$400)</f>
        <v>0</v>
      </c>
      <c r="AG366" s="155">
        <f>SUMIF(Comp!$A$75:$A$400,Areas!A366,Comp!$G$75:$G$400)</f>
        <v>0</v>
      </c>
      <c r="AH366" s="155"/>
      <c r="AI366" s="155"/>
      <c r="AK366" s="147"/>
    </row>
    <row r="367" spans="1:37" s="148" customFormat="1">
      <c r="A367" s="146" t="s">
        <v>936</v>
      </c>
      <c r="C367" s="147">
        <f t="shared" si="119"/>
        <v>13.749984317585453</v>
      </c>
      <c r="D367" s="147">
        <f t="shared" si="119"/>
        <v>0</v>
      </c>
      <c r="E367" s="147">
        <f t="shared" si="119"/>
        <v>0</v>
      </c>
      <c r="F367" s="147">
        <f t="shared" si="119"/>
        <v>0</v>
      </c>
      <c r="G367" s="411"/>
      <c r="H367" s="411"/>
      <c r="I367" s="411"/>
      <c r="J367" s="411"/>
      <c r="K367" s="411"/>
      <c r="L367" s="411"/>
      <c r="M367" s="411"/>
      <c r="N367" s="411"/>
      <c r="O367" s="411"/>
      <c r="P367" s="147">
        <f t="shared" si="114"/>
        <v>0</v>
      </c>
      <c r="Q367" s="147">
        <f t="shared" si="115"/>
        <v>0</v>
      </c>
      <c r="S367" s="155">
        <f>SUMIF('Flt III'!D:D,A367,'Flt III'!E:E)/3.2808^2</f>
        <v>13.749984317585453</v>
      </c>
      <c r="T367" s="155">
        <f>SUMIF('Flt IIa'!A:A,A367,'Flt IIa'!E:E)/3.2808^2</f>
        <v>0</v>
      </c>
      <c r="U367" s="155">
        <f>SUMIF('OPC Des'!A:A,A367,'OPC Des'!F:F)/3.2808^2</f>
        <v>0</v>
      </c>
      <c r="V367" s="155">
        <f>SUMIF('LCS 5'!A:A,A367,'LCS 5'!E:E)</f>
        <v>0</v>
      </c>
      <c r="W367" s="155">
        <f>SUMIF('USCG Summary'!$A$25:$A$50,A367,'USCG Summary'!$D$25:$D$50)/3.2808^2</f>
        <v>0</v>
      </c>
      <c r="X367" s="153">
        <f>SUMIF('USCG Summary'!$A$25:$A$50,A367,'USCG Summary'!$I$25:$I$50)/3.2808^2</f>
        <v>0</v>
      </c>
      <c r="Y367" s="153">
        <f>SUMIF('USCG Summary'!$A$25:$A$50,A367,'USCG Summary'!$L$25:$L$50)/3.2808^2</f>
        <v>0</v>
      </c>
      <c r="Z367" s="153">
        <f>SUMIF('USCG Summary'!$A$25:$A$50,A367,'USCG Summary'!$O$25:$O$50)/3.2808^2</f>
        <v>0</v>
      </c>
      <c r="AA367" s="153">
        <f>SUMIF('USCG Summary'!$A$25:$A$50,A367,'USCG Summary'!$P$25:$P$50)/3.2808^2</f>
        <v>0</v>
      </c>
      <c r="AB367" s="153">
        <f>SUMIF('USCG Summary'!$A$25:$A$50,A367,'USCG Summary'!$Q$25:$Q$50)/3.2808^2</f>
        <v>0</v>
      </c>
      <c r="AC367" s="153">
        <f>SUMIF('USCG Summary'!$A$25:$A$50,A367,'USCG Summary'!$T$25:$T$50)/3.2808^2</f>
        <v>0</v>
      </c>
      <c r="AD367" s="153">
        <f>SUMIF('USCG Summary'!$A$25:$A$50,A367,'USCG Summary'!$W$25:$W$50)/3.2808^2</f>
        <v>0</v>
      </c>
      <c r="AE367" s="153">
        <f>SUMIF('USCG Summary'!$A$25:$A$50,A367,'USCG Summary'!$Z$25:$Z$50)/3.2808^2</f>
        <v>0</v>
      </c>
      <c r="AF367" s="155">
        <f>SUMIF(Comp!$A$75:$A$400,Areas!A367,Comp!$F$75:$F$400)</f>
        <v>0</v>
      </c>
      <c r="AG367" s="155">
        <f>SUMIF(Comp!$A$75:$A$400,Areas!A367,Comp!$G$75:$G$400)</f>
        <v>0</v>
      </c>
      <c r="AH367" s="155"/>
      <c r="AI367" s="155"/>
      <c r="AK367" s="147"/>
    </row>
    <row r="368" spans="1:37" s="141" customFormat="1">
      <c r="A368" s="144" t="s">
        <v>933</v>
      </c>
      <c r="C368" s="145">
        <f>S368</f>
        <v>13.657079018142307</v>
      </c>
      <c r="D368" s="145">
        <f>T368</f>
        <v>0</v>
      </c>
      <c r="E368" s="145">
        <f>U368</f>
        <v>0</v>
      </c>
      <c r="F368" s="145">
        <f>V368</f>
        <v>0</v>
      </c>
      <c r="G368" s="412"/>
      <c r="H368" s="412"/>
      <c r="I368" s="412"/>
      <c r="J368" s="412"/>
      <c r="K368" s="412"/>
      <c r="L368" s="412"/>
      <c r="M368" s="412"/>
      <c r="N368" s="412"/>
      <c r="O368" s="412"/>
      <c r="P368" s="145">
        <f t="shared" si="114"/>
        <v>0</v>
      </c>
      <c r="Q368" s="145">
        <f t="shared" si="115"/>
        <v>0</v>
      </c>
      <c r="S368" s="156">
        <f>SUMIF('Flt III'!D:D,A368,'Flt III'!E:E)/3.2808^2</f>
        <v>13.657079018142307</v>
      </c>
      <c r="T368" s="156">
        <f>SUMIF('Flt IIa'!A:A,A368,'Flt IIa'!E:E)/3.2808^2</f>
        <v>0</v>
      </c>
      <c r="U368" s="156">
        <f>SUMIF('OPC Des'!A:A,A368,'OPC Des'!F:F)/3.2808^2</f>
        <v>0</v>
      </c>
      <c r="V368" s="156">
        <f>SUMIF('LCS 5'!A:A,A368,'LCS 5'!E:E)</f>
        <v>0</v>
      </c>
      <c r="W368" s="156">
        <f>SUMIF('USCG Summary'!$A$25:$A$50,A368,'USCG Summary'!$D$25:$D$50)/3.2808^2</f>
        <v>0</v>
      </c>
      <c r="X368" s="153">
        <f>SUMIF('USCG Summary'!$A$25:$A$50,A368,'USCG Summary'!$I$25:$I$50)/3.2808^2</f>
        <v>0</v>
      </c>
      <c r="Y368" s="153">
        <f>SUMIF('USCG Summary'!$A$25:$A$50,A368,'USCG Summary'!$L$25:$L$50)/3.2808^2</f>
        <v>0</v>
      </c>
      <c r="Z368" s="153">
        <f>SUMIF('USCG Summary'!$A$25:$A$50,A368,'USCG Summary'!$O$25:$O$50)/3.2808^2</f>
        <v>0</v>
      </c>
      <c r="AA368" s="153">
        <f>SUMIF('USCG Summary'!$A$25:$A$50,A368,'USCG Summary'!$P$25:$P$50)/3.2808^2</f>
        <v>0</v>
      </c>
      <c r="AB368" s="153">
        <f>SUMIF('USCG Summary'!$A$25:$A$50,A368,'USCG Summary'!$Q$25:$Q$50)/3.2808^2</f>
        <v>0</v>
      </c>
      <c r="AC368" s="153">
        <f>SUMIF('USCG Summary'!$A$25:$A$50,A368,'USCG Summary'!$T$25:$T$50)/3.2808^2</f>
        <v>0</v>
      </c>
      <c r="AD368" s="153">
        <f>SUMIF('USCG Summary'!$A$25:$A$50,A368,'USCG Summary'!$W$25:$W$50)/3.2808^2</f>
        <v>0</v>
      </c>
      <c r="AE368" s="153">
        <f>SUMIF('USCG Summary'!$A$25:$A$50,A368,'USCG Summary'!$Z$25:$Z$50)/3.2808^2</f>
        <v>0</v>
      </c>
      <c r="AF368" s="156">
        <f>SUMIF(Comp!$A$75:$A$400,Areas!A368,Comp!$F$75:$F$400)</f>
        <v>0</v>
      </c>
      <c r="AG368" s="156">
        <f>SUMIF(Comp!$A$75:$A$400,Areas!A368,Comp!$G$75:$G$400)</f>
        <v>0</v>
      </c>
      <c r="AH368" s="156"/>
      <c r="AI368" s="156"/>
      <c r="AK368" s="145"/>
    </row>
    <row r="369" spans="1:37" s="134" customFormat="1">
      <c r="A369" s="140">
        <v>3.25</v>
      </c>
      <c r="B369" s="134" t="str">
        <f>Comp!B307</f>
        <v>FIRE FIGHTING</v>
      </c>
      <c r="C369" s="149">
        <f>C370</f>
        <v>21.461124171366482</v>
      </c>
      <c r="D369" s="149">
        <f>D370</f>
        <v>21.461124171366482</v>
      </c>
      <c r="E369" s="149">
        <f>E370</f>
        <v>0</v>
      </c>
      <c r="F369" s="149">
        <f>F370</f>
        <v>0</v>
      </c>
      <c r="G369" s="409"/>
      <c r="H369" s="409"/>
      <c r="I369" s="409"/>
      <c r="J369" s="409"/>
      <c r="K369" s="409"/>
      <c r="L369" s="409"/>
      <c r="M369" s="409"/>
      <c r="N369" s="409"/>
      <c r="O369" s="409"/>
      <c r="P369" s="149">
        <f t="shared" si="114"/>
        <v>40.9</v>
      </c>
      <c r="Q369" s="149">
        <f t="shared" si="115"/>
        <v>40.9</v>
      </c>
      <c r="S369" s="153">
        <f>SUMIF('Flt III'!D:D,A369,'Flt III'!E:E)/3.2808^2</f>
        <v>0</v>
      </c>
      <c r="T369" s="153">
        <f>SUMIF('Flt IIa'!A:A,A369,'Flt IIa'!E:E)/3.2808^2</f>
        <v>0</v>
      </c>
      <c r="U369" s="153">
        <f>SUMIF('OPC Des'!A:A,A369,'OPC Des'!F:F)/3.2808^2</f>
        <v>0</v>
      </c>
      <c r="V369" s="153">
        <f>SUMIF('LCS 5'!A:A,A369,'LCS 5'!E:E)</f>
        <v>0</v>
      </c>
      <c r="W369" s="153">
        <f>SUMIF('USCG Summary'!$A$25:$A$50,A369,'USCG Summary'!$D$25:$D$50)/3.2808^2</f>
        <v>0</v>
      </c>
      <c r="X369" s="153">
        <f>SUMIF('USCG Summary'!$A$25:$A$50,A369,'USCG Summary'!$I$25:$I$50)/3.2808^2</f>
        <v>0</v>
      </c>
      <c r="Y369" s="153">
        <f>SUMIF('USCG Summary'!$A$25:$A$50,A369,'USCG Summary'!$L$25:$L$50)/3.2808^2</f>
        <v>0</v>
      </c>
      <c r="Z369" s="153">
        <f>SUMIF('USCG Summary'!$A$25:$A$50,A369,'USCG Summary'!$O$25:$O$50)/3.2808^2</f>
        <v>0</v>
      </c>
      <c r="AA369" s="153">
        <f>SUMIF('USCG Summary'!$A$25:$A$50,A369,'USCG Summary'!$P$25:$P$50)/3.2808^2</f>
        <v>0</v>
      </c>
      <c r="AB369" s="153">
        <f>SUMIF('USCG Summary'!$A$25:$A$50,A369,'USCG Summary'!$Q$25:$Q$50)/3.2808^2</f>
        <v>0</v>
      </c>
      <c r="AC369" s="153">
        <f>SUMIF('USCG Summary'!$A$25:$A$50,A369,'USCG Summary'!$T$25:$T$50)/3.2808^2</f>
        <v>0</v>
      </c>
      <c r="AD369" s="153">
        <f>SUMIF('USCG Summary'!$A$25:$A$50,A369,'USCG Summary'!$W$25:$W$50)/3.2808^2</f>
        <v>0</v>
      </c>
      <c r="AE369" s="153">
        <f>SUMIF('USCG Summary'!$A$25:$A$50,A369,'USCG Summary'!$Z$25:$Z$50)/3.2808^2</f>
        <v>0</v>
      </c>
      <c r="AF369" s="153">
        <f>SUMIF(Comp!$A$75:$A$400,Areas!A369,Comp!$F$75:$F$400)</f>
        <v>40.9</v>
      </c>
      <c r="AG369" s="153">
        <f>SUMIF(Comp!$A$75:$A$400,Areas!A369,Comp!$G$75:$G$400)</f>
        <v>40.9</v>
      </c>
      <c r="AH369" s="153"/>
      <c r="AI369" s="153"/>
      <c r="AK369" s="133"/>
    </row>
    <row r="370" spans="1:37" s="132" customFormat="1">
      <c r="A370" s="142">
        <v>3.2509999999999999</v>
      </c>
      <c r="C370" s="143">
        <f>SUM(C371)</f>
        <v>21.461124171366482</v>
      </c>
      <c r="D370" s="143">
        <f>T370</f>
        <v>21.461124171366482</v>
      </c>
      <c r="E370" s="143">
        <f>U370</f>
        <v>0</v>
      </c>
      <c r="F370" s="143">
        <f>V370</f>
        <v>0</v>
      </c>
      <c r="G370" s="410"/>
      <c r="H370" s="410"/>
      <c r="I370" s="410"/>
      <c r="J370" s="410"/>
      <c r="K370" s="410"/>
      <c r="L370" s="410"/>
      <c r="M370" s="410"/>
      <c r="N370" s="410"/>
      <c r="O370" s="410"/>
      <c r="P370" s="143">
        <f t="shared" si="114"/>
        <v>0</v>
      </c>
      <c r="Q370" s="143">
        <f t="shared" si="115"/>
        <v>0</v>
      </c>
      <c r="S370" s="154">
        <f>SUMIF('Flt III'!D:D,A370,'Flt III'!E:E)/3.2808^2</f>
        <v>60.760065835816796</v>
      </c>
      <c r="T370" s="154">
        <f>SUMIF('Flt IIa'!A:A,A370,'Flt IIa'!E:E)/3.2808^2</f>
        <v>21.461124171366482</v>
      </c>
      <c r="U370" s="154">
        <f>SUMIF('OPC Des'!A:A,A370,'OPC Des'!F:F)/3.2808^2</f>
        <v>0</v>
      </c>
      <c r="V370" s="154">
        <f>SUMIF('LCS 5'!A:A,A370,'LCS 5'!E:E)</f>
        <v>0</v>
      </c>
      <c r="W370" s="154">
        <f>SUMIF('USCG Summary'!$A$25:$A$50,A370,'USCG Summary'!$D$25:$D$50)/3.2808^2</f>
        <v>0</v>
      </c>
      <c r="X370" s="153">
        <f>SUMIF('USCG Summary'!$A$25:$A$50,A370,'USCG Summary'!$I$25:$I$50)/3.2808^2</f>
        <v>0</v>
      </c>
      <c r="Y370" s="153">
        <f>SUMIF('USCG Summary'!$A$25:$A$50,A370,'USCG Summary'!$L$25:$L$50)/3.2808^2</f>
        <v>0</v>
      </c>
      <c r="Z370" s="153">
        <f>SUMIF('USCG Summary'!$A$25:$A$50,A370,'USCG Summary'!$O$25:$O$50)/3.2808^2</f>
        <v>0</v>
      </c>
      <c r="AA370" s="153">
        <f>SUMIF('USCG Summary'!$A$25:$A$50,A370,'USCG Summary'!$P$25:$P$50)/3.2808^2</f>
        <v>0</v>
      </c>
      <c r="AB370" s="153">
        <f>SUMIF('USCG Summary'!$A$25:$A$50,A370,'USCG Summary'!$Q$25:$Q$50)/3.2808^2</f>
        <v>0</v>
      </c>
      <c r="AC370" s="153">
        <f>SUMIF('USCG Summary'!$A$25:$A$50,A370,'USCG Summary'!$T$25:$T$50)/3.2808^2</f>
        <v>0</v>
      </c>
      <c r="AD370" s="153">
        <f>SUMIF('USCG Summary'!$A$25:$A$50,A370,'USCG Summary'!$W$25:$W$50)/3.2808^2</f>
        <v>0</v>
      </c>
      <c r="AE370" s="153">
        <f>SUMIF('USCG Summary'!$A$25:$A$50,A370,'USCG Summary'!$Z$25:$Z$50)/3.2808^2</f>
        <v>0</v>
      </c>
      <c r="AF370" s="154">
        <f>SUMIF(Comp!$A$75:$A$400,Areas!A370,Comp!$F$75:$F$400)</f>
        <v>0</v>
      </c>
      <c r="AG370" s="154">
        <f>SUMIF(Comp!$A$75:$A$400,Areas!A370,Comp!$G$75:$G$400)</f>
        <v>0</v>
      </c>
      <c r="AH370" s="154"/>
      <c r="AI370" s="154"/>
      <c r="AK370" s="143"/>
    </row>
    <row r="371" spans="1:37" s="148" customFormat="1">
      <c r="A371" s="146" t="s">
        <v>918</v>
      </c>
      <c r="C371" s="147">
        <f t="shared" ref="C371:F371" si="120">S371</f>
        <v>21.461124171366482</v>
      </c>
      <c r="D371" s="147">
        <f t="shared" si="120"/>
        <v>0</v>
      </c>
      <c r="E371" s="147">
        <f t="shared" si="120"/>
        <v>29.172264025147513</v>
      </c>
      <c r="F371" s="147">
        <f t="shared" si="120"/>
        <v>0</v>
      </c>
      <c r="G371" s="411"/>
      <c r="H371" s="411"/>
      <c r="I371" s="411"/>
      <c r="J371" s="411"/>
      <c r="K371" s="411"/>
      <c r="L371" s="411"/>
      <c r="M371" s="411"/>
      <c r="N371" s="411"/>
      <c r="O371" s="411"/>
      <c r="P371" s="147">
        <f t="shared" si="114"/>
        <v>0</v>
      </c>
      <c r="Q371" s="147">
        <f t="shared" si="115"/>
        <v>0</v>
      </c>
      <c r="S371" s="155">
        <f>SUMIF('Flt III'!D:D,A371,'Flt III'!E:E)/3.2808^2</f>
        <v>21.461124171366482</v>
      </c>
      <c r="T371" s="155">
        <f>SUMIF('Flt IIa'!A:A,A371,'Flt IIa'!E:E)/3.2808^2</f>
        <v>0</v>
      </c>
      <c r="U371" s="155">
        <f>SUMIF('OPC Des'!A:A,A371,'OPC Des'!F:F)/3.2808^2</f>
        <v>29.172264025147513</v>
      </c>
      <c r="V371" s="155">
        <f>SUMIF('LCS 5'!A:A,A371,'LCS 5'!E:E)</f>
        <v>0</v>
      </c>
      <c r="W371" s="155">
        <f>SUMIF('USCG Summary'!$A$25:$A$50,A371,'USCG Summary'!$D$25:$D$50)/3.2808^2</f>
        <v>0</v>
      </c>
      <c r="X371" s="153">
        <f>SUMIF('USCG Summary'!$A$25:$A$50,A371,'USCG Summary'!$I$25:$I$50)/3.2808^2</f>
        <v>0</v>
      </c>
      <c r="Y371" s="153">
        <f>SUMIF('USCG Summary'!$A$25:$A$50,A371,'USCG Summary'!$L$25:$L$50)/3.2808^2</f>
        <v>0</v>
      </c>
      <c r="Z371" s="153">
        <f>SUMIF('USCG Summary'!$A$25:$A$50,A371,'USCG Summary'!$O$25:$O$50)/3.2808^2</f>
        <v>0</v>
      </c>
      <c r="AA371" s="153">
        <f>SUMIF('USCG Summary'!$A$25:$A$50,A371,'USCG Summary'!$P$25:$P$50)/3.2808^2</f>
        <v>0</v>
      </c>
      <c r="AB371" s="153">
        <f>SUMIF('USCG Summary'!$A$25:$A$50,A371,'USCG Summary'!$Q$25:$Q$50)/3.2808^2</f>
        <v>0</v>
      </c>
      <c r="AC371" s="153">
        <f>SUMIF('USCG Summary'!$A$25:$A$50,A371,'USCG Summary'!$T$25:$T$50)/3.2808^2</f>
        <v>0</v>
      </c>
      <c r="AD371" s="153">
        <f>SUMIF('USCG Summary'!$A$25:$A$50,A371,'USCG Summary'!$W$25:$W$50)/3.2808^2</f>
        <v>0</v>
      </c>
      <c r="AE371" s="153">
        <f>SUMIF('USCG Summary'!$A$25:$A$50,A371,'USCG Summary'!$Z$25:$Z$50)/3.2808^2</f>
        <v>0</v>
      </c>
      <c r="AF371" s="155">
        <f>SUMIF(Comp!$A$75:$A$400,Areas!A371,Comp!$F$75:$F$400)</f>
        <v>0</v>
      </c>
      <c r="AG371" s="155">
        <f>SUMIF(Comp!$A$75:$A$400,Areas!A371,Comp!$G$75:$G$400)</f>
        <v>0</v>
      </c>
      <c r="AH371" s="155"/>
      <c r="AI371" s="155"/>
      <c r="AK371" s="147"/>
    </row>
    <row r="372" spans="1:37" s="139" customFormat="1">
      <c r="A372" s="137">
        <v>3.3</v>
      </c>
      <c r="B372" s="139" t="str">
        <f>Comp!B308</f>
        <v>SHIP ADMINISTRATION</v>
      </c>
      <c r="C372" s="150">
        <f>C373+C376+C379+C382+C386+C388+C390+C391+C392</f>
        <v>150.59949039733795</v>
      </c>
      <c r="D372" s="150">
        <f>D373+D376+D379+D382+D386+D388+D390+D391+D392</f>
        <v>201.23287859385195</v>
      </c>
      <c r="E372" s="150">
        <f>E373+E376+E379+E382+E386+E388+E390+E391+E392</f>
        <v>9.4763405432007843</v>
      </c>
      <c r="F372" s="150">
        <f>F373+F376+F379+F382+F386+F388+F390+F391+F392</f>
        <v>14.88</v>
      </c>
      <c r="G372" s="406">
        <f>W372</f>
        <v>0</v>
      </c>
      <c r="H372" s="406">
        <f t="shared" ref="H372:O372" si="121">X372</f>
        <v>0</v>
      </c>
      <c r="I372" s="406">
        <f t="shared" si="121"/>
        <v>0</v>
      </c>
      <c r="J372" s="406">
        <f t="shared" si="121"/>
        <v>0</v>
      </c>
      <c r="K372" s="406">
        <f t="shared" si="121"/>
        <v>0</v>
      </c>
      <c r="L372" s="406">
        <f t="shared" si="121"/>
        <v>0</v>
      </c>
      <c r="M372" s="406">
        <f t="shared" si="121"/>
        <v>0</v>
      </c>
      <c r="N372" s="406">
        <f t="shared" si="121"/>
        <v>0</v>
      </c>
      <c r="O372" s="406">
        <f t="shared" si="121"/>
        <v>0</v>
      </c>
      <c r="P372" s="138">
        <f t="shared" si="114"/>
        <v>184.9</v>
      </c>
      <c r="Q372" s="138">
        <f t="shared" si="115"/>
        <v>190.5</v>
      </c>
      <c r="S372" s="152">
        <f>SUMIF('Flt III'!D:D,A372,'Flt III'!E:E)/3.2808^2</f>
        <v>0</v>
      </c>
      <c r="T372" s="152">
        <f>SUMIF('Flt IIa'!A:A,A372,'Flt IIa'!E:E)/3.2808^2</f>
        <v>0</v>
      </c>
      <c r="U372" s="152">
        <f>SUMIF('OPC Des'!A:A,A372,'OPC Des'!F:F)/3.2808^2</f>
        <v>0</v>
      </c>
      <c r="V372" s="152">
        <f>SUMIF('LCS 5'!A:A,A372,'LCS 5'!E:E)</f>
        <v>0</v>
      </c>
      <c r="W372" s="152">
        <f>SUMIF('USCG Summary'!$A$25:$A$50,A372,'USCG Summary'!$D$25:$D$50)/3.2808^2</f>
        <v>0</v>
      </c>
      <c r="X372" s="153">
        <f>SUMIF('USCG Summary'!$A$25:$A$50,A372,'USCG Summary'!$I$25:$I$50)/3.2808^2</f>
        <v>0</v>
      </c>
      <c r="Y372" s="153">
        <f>SUMIF('USCG Summary'!$A$25:$A$50,A372,'USCG Summary'!$L$25:$L$50)/3.2808^2</f>
        <v>0</v>
      </c>
      <c r="Z372" s="153">
        <f>SUMIF('USCG Summary'!$A$25:$A$50,A372,'USCG Summary'!$O$25:$O$50)/3.2808^2</f>
        <v>0</v>
      </c>
      <c r="AA372" s="153">
        <f>SUMIF('USCG Summary'!$A$25:$A$50,A372,'USCG Summary'!$P$25:$P$50)/3.2808^2</f>
        <v>0</v>
      </c>
      <c r="AB372" s="153">
        <f>SUMIF('USCG Summary'!$A$25:$A$50,A372,'USCG Summary'!$Q$25:$Q$50)/3.2808^2</f>
        <v>0</v>
      </c>
      <c r="AC372" s="153">
        <f>SUMIF('USCG Summary'!$A$25:$A$50,A372,'USCG Summary'!$T$25:$T$50)/3.2808^2</f>
        <v>0</v>
      </c>
      <c r="AD372" s="153">
        <f>SUMIF('USCG Summary'!$A$25:$A$50,A372,'USCG Summary'!$W$25:$W$50)/3.2808^2</f>
        <v>0</v>
      </c>
      <c r="AE372" s="153">
        <f>SUMIF('USCG Summary'!$A$25:$A$50,A372,'USCG Summary'!$Z$25:$Z$50)/3.2808^2</f>
        <v>0</v>
      </c>
      <c r="AF372" s="152">
        <f>SUMIF(Comp!$A$75:$A$400,Areas!A372,Comp!$F$75:$F$400)</f>
        <v>184.9</v>
      </c>
      <c r="AG372" s="152">
        <f>SUMIF(Comp!$A$75:$A$400,Areas!A372,Comp!$G$75:$G$400)</f>
        <v>190.5</v>
      </c>
      <c r="AH372" s="152"/>
      <c r="AI372" s="152"/>
      <c r="AK372" s="138"/>
    </row>
    <row r="373" spans="1:37" s="132" customFormat="1">
      <c r="A373" s="142">
        <v>3.3010000000000002</v>
      </c>
      <c r="B373" s="132" t="str">
        <f>Comp!B309</f>
        <v>GENERAL SHIP</v>
      </c>
      <c r="C373" s="143">
        <f>SUM(C374:C375)</f>
        <v>25.641862646308006</v>
      </c>
      <c r="D373" s="143">
        <f>T373</f>
        <v>26.6638209401826</v>
      </c>
      <c r="E373" s="143">
        <f>U373</f>
        <v>0</v>
      </c>
      <c r="F373" s="143">
        <f>SUM(F374:F375)</f>
        <v>14.88</v>
      </c>
      <c r="G373" s="410"/>
      <c r="H373" s="410"/>
      <c r="I373" s="410"/>
      <c r="J373" s="410"/>
      <c r="K373" s="410"/>
      <c r="L373" s="410"/>
      <c r="M373" s="410"/>
      <c r="N373" s="410"/>
      <c r="O373" s="410"/>
      <c r="P373" s="143">
        <f t="shared" si="114"/>
        <v>22</v>
      </c>
      <c r="Q373" s="143">
        <f t="shared" si="115"/>
        <v>22</v>
      </c>
      <c r="S373" s="154">
        <f>SUMIF('Flt III'!D:D,A373,'Flt III'!E:E)/3.2808^2</f>
        <v>0</v>
      </c>
      <c r="T373" s="154">
        <f>SUMIF('Flt IIa'!A:A,A373,'Flt IIa'!E:E)/3.2808^2</f>
        <v>26.6638209401826</v>
      </c>
      <c r="U373" s="154">
        <f>SUMIF('OPC Des'!A:A,A373,'OPC Des'!F:F)/3.2808^2</f>
        <v>0</v>
      </c>
      <c r="V373" s="154">
        <f>SUMIF('LCS 5'!A:A,A373,'LCS 5'!E:E)</f>
        <v>0</v>
      </c>
      <c r="W373" s="154">
        <f>SUMIF('USCG Summary'!$A$25:$A$50,A373,'USCG Summary'!$D$25:$D$50)/3.2808^2</f>
        <v>0</v>
      </c>
      <c r="X373" s="153">
        <f>SUMIF('USCG Summary'!$A$25:$A$50,A373,'USCG Summary'!$I$25:$I$50)/3.2808^2</f>
        <v>0</v>
      </c>
      <c r="Y373" s="153">
        <f>SUMIF('USCG Summary'!$A$25:$A$50,A373,'USCG Summary'!$L$25:$L$50)/3.2808^2</f>
        <v>0</v>
      </c>
      <c r="Z373" s="153">
        <f>SUMIF('USCG Summary'!$A$25:$A$50,A373,'USCG Summary'!$O$25:$O$50)/3.2808^2</f>
        <v>0</v>
      </c>
      <c r="AA373" s="153">
        <f>SUMIF('USCG Summary'!$A$25:$A$50,A373,'USCG Summary'!$P$25:$P$50)/3.2808^2</f>
        <v>0</v>
      </c>
      <c r="AB373" s="153">
        <f>SUMIF('USCG Summary'!$A$25:$A$50,A373,'USCG Summary'!$Q$25:$Q$50)/3.2808^2</f>
        <v>0</v>
      </c>
      <c r="AC373" s="153">
        <f>SUMIF('USCG Summary'!$A$25:$A$50,A373,'USCG Summary'!$T$25:$T$50)/3.2808^2</f>
        <v>0</v>
      </c>
      <c r="AD373" s="153">
        <f>SUMIF('USCG Summary'!$A$25:$A$50,A373,'USCG Summary'!$W$25:$W$50)/3.2808^2</f>
        <v>0</v>
      </c>
      <c r="AE373" s="153">
        <f>SUMIF('USCG Summary'!$A$25:$A$50,A373,'USCG Summary'!$Z$25:$Z$50)/3.2808^2</f>
        <v>0</v>
      </c>
      <c r="AF373" s="154">
        <f>SUMIF(Comp!$A$75:$A$400,Areas!A373,Comp!$F$75:$F$400)</f>
        <v>22</v>
      </c>
      <c r="AG373" s="154">
        <f>SUMIF(Comp!$A$75:$A$400,Areas!A373,Comp!$G$75:$G$400)</f>
        <v>22</v>
      </c>
      <c r="AH373" s="154"/>
      <c r="AI373" s="154"/>
      <c r="AK373" s="143"/>
    </row>
    <row r="374" spans="1:37" s="148" customFormat="1">
      <c r="A374" s="146" t="s">
        <v>912</v>
      </c>
      <c r="C374" s="147">
        <f t="shared" ref="C374:F375" si="122">S374</f>
        <v>8.1756663509967549</v>
      </c>
      <c r="D374" s="147">
        <f t="shared" si="122"/>
        <v>0</v>
      </c>
      <c r="E374" s="147">
        <f t="shared" si="122"/>
        <v>0</v>
      </c>
      <c r="F374" s="147">
        <f t="shared" si="122"/>
        <v>0</v>
      </c>
      <c r="G374" s="411"/>
      <c r="H374" s="411"/>
      <c r="I374" s="411"/>
      <c r="J374" s="411"/>
      <c r="K374" s="411"/>
      <c r="L374" s="411"/>
      <c r="M374" s="411"/>
      <c r="N374" s="411"/>
      <c r="O374" s="411"/>
      <c r="P374" s="147">
        <f t="shared" si="114"/>
        <v>0</v>
      </c>
      <c r="Q374" s="147">
        <f t="shared" si="115"/>
        <v>0</v>
      </c>
      <c r="S374" s="155">
        <f>SUMIF('Flt III'!D:D,A374,'Flt III'!E:E)/3.2808^2</f>
        <v>8.1756663509967549</v>
      </c>
      <c r="T374" s="155">
        <f>SUMIF('Flt IIa'!A:A,A374,'Flt IIa'!E:E)/3.2808^2</f>
        <v>0</v>
      </c>
      <c r="U374" s="155">
        <f>SUMIF('OPC Des'!A:A,A374,'OPC Des'!F:F)/3.2808^2</f>
        <v>0</v>
      </c>
      <c r="V374" s="155">
        <f>SUMIF('LCS 5'!A:A,A374,'LCS 5'!E:E)</f>
        <v>0</v>
      </c>
      <c r="W374" s="155">
        <f>SUMIF('USCG Summary'!$A$25:$A$50,A374,'USCG Summary'!$D$25:$D$50)/3.2808^2</f>
        <v>0</v>
      </c>
      <c r="X374" s="153">
        <f>SUMIF('USCG Summary'!$A$25:$A$50,A374,'USCG Summary'!$I$25:$I$50)/3.2808^2</f>
        <v>0</v>
      </c>
      <c r="Y374" s="153">
        <f>SUMIF('USCG Summary'!$A$25:$A$50,A374,'USCG Summary'!$L$25:$L$50)/3.2808^2</f>
        <v>0</v>
      </c>
      <c r="Z374" s="153">
        <f>SUMIF('USCG Summary'!$A$25:$A$50,A374,'USCG Summary'!$O$25:$O$50)/3.2808^2</f>
        <v>0</v>
      </c>
      <c r="AA374" s="153">
        <f>SUMIF('USCG Summary'!$A$25:$A$50,A374,'USCG Summary'!$P$25:$P$50)/3.2808^2</f>
        <v>0</v>
      </c>
      <c r="AB374" s="153">
        <f>SUMIF('USCG Summary'!$A$25:$A$50,A374,'USCG Summary'!$Q$25:$Q$50)/3.2808^2</f>
        <v>0</v>
      </c>
      <c r="AC374" s="153">
        <f>SUMIF('USCG Summary'!$A$25:$A$50,A374,'USCG Summary'!$T$25:$T$50)/3.2808^2</f>
        <v>0</v>
      </c>
      <c r="AD374" s="153">
        <f>SUMIF('USCG Summary'!$A$25:$A$50,A374,'USCG Summary'!$W$25:$W$50)/3.2808^2</f>
        <v>0</v>
      </c>
      <c r="AE374" s="153">
        <f>SUMIF('USCG Summary'!$A$25:$A$50,A374,'USCG Summary'!$Z$25:$Z$50)/3.2808^2</f>
        <v>0</v>
      </c>
      <c r="AF374" s="155">
        <f>SUMIF(Comp!$A$75:$A$400,Areas!A374,Comp!$F$75:$F$400)</f>
        <v>0</v>
      </c>
      <c r="AG374" s="155">
        <f>SUMIF(Comp!$A$75:$A$400,Areas!A374,Comp!$G$75:$G$400)</f>
        <v>0</v>
      </c>
      <c r="AH374" s="155"/>
      <c r="AI374" s="155"/>
      <c r="AK374" s="147"/>
    </row>
    <row r="375" spans="1:37" s="148" customFormat="1">
      <c r="A375" s="146">
        <v>3.3010199999999998</v>
      </c>
      <c r="C375" s="147">
        <f t="shared" si="122"/>
        <v>17.466196295311249</v>
      </c>
      <c r="D375" s="147">
        <f t="shared" si="122"/>
        <v>0</v>
      </c>
      <c r="E375" s="147">
        <f t="shared" si="122"/>
        <v>0</v>
      </c>
      <c r="F375" s="147">
        <f t="shared" si="122"/>
        <v>14.88</v>
      </c>
      <c r="G375" s="411"/>
      <c r="H375" s="411"/>
      <c r="I375" s="411"/>
      <c r="J375" s="411"/>
      <c r="K375" s="411"/>
      <c r="L375" s="411"/>
      <c r="M375" s="411"/>
      <c r="N375" s="411"/>
      <c r="O375" s="411"/>
      <c r="P375" s="147">
        <f t="shared" si="114"/>
        <v>0</v>
      </c>
      <c r="Q375" s="147">
        <f t="shared" si="115"/>
        <v>0</v>
      </c>
      <c r="S375" s="155">
        <f>SUMIF('Flt III'!D:D,A375,'Flt III'!E:E)/3.2808^2</f>
        <v>17.466196295311249</v>
      </c>
      <c r="T375" s="155">
        <f>SUMIF('Flt IIa'!A:A,A375,'Flt IIa'!E:E)/3.2808^2</f>
        <v>0</v>
      </c>
      <c r="U375" s="155">
        <f>SUMIF('OPC Des'!A:A,A375,'OPC Des'!F:F)/3.2808^2</f>
        <v>0</v>
      </c>
      <c r="V375" s="155">
        <f>SUMIF('LCS 5'!A:A,A375,'LCS 5'!E:E)</f>
        <v>14.88</v>
      </c>
      <c r="W375" s="155">
        <f>SUMIF('USCG Summary'!$A$25:$A$50,A375,'USCG Summary'!$D$25:$D$50)/3.2808^2</f>
        <v>0</v>
      </c>
      <c r="X375" s="153">
        <f>SUMIF('USCG Summary'!$A$25:$A$50,A375,'USCG Summary'!$I$25:$I$50)/3.2808^2</f>
        <v>0</v>
      </c>
      <c r="Y375" s="153">
        <f>SUMIF('USCG Summary'!$A$25:$A$50,A375,'USCG Summary'!$L$25:$L$50)/3.2808^2</f>
        <v>0</v>
      </c>
      <c r="Z375" s="153">
        <f>SUMIF('USCG Summary'!$A$25:$A$50,A375,'USCG Summary'!$O$25:$O$50)/3.2808^2</f>
        <v>0</v>
      </c>
      <c r="AA375" s="153">
        <f>SUMIF('USCG Summary'!$A$25:$A$50,A375,'USCG Summary'!$P$25:$P$50)/3.2808^2</f>
        <v>0</v>
      </c>
      <c r="AB375" s="153">
        <f>SUMIF('USCG Summary'!$A$25:$A$50,A375,'USCG Summary'!$Q$25:$Q$50)/3.2808^2</f>
        <v>0</v>
      </c>
      <c r="AC375" s="153">
        <f>SUMIF('USCG Summary'!$A$25:$A$50,A375,'USCG Summary'!$T$25:$T$50)/3.2808^2</f>
        <v>0</v>
      </c>
      <c r="AD375" s="153">
        <f>SUMIF('USCG Summary'!$A$25:$A$50,A375,'USCG Summary'!$W$25:$W$50)/3.2808^2</f>
        <v>0</v>
      </c>
      <c r="AE375" s="153">
        <f>SUMIF('USCG Summary'!$A$25:$A$50,A375,'USCG Summary'!$Z$25:$Z$50)/3.2808^2</f>
        <v>0</v>
      </c>
      <c r="AF375" s="155">
        <f>SUMIF(Comp!$A$75:$A$400,Areas!A375,Comp!$F$75:$F$400)</f>
        <v>0</v>
      </c>
      <c r="AG375" s="155">
        <f>SUMIF(Comp!$A$75:$A$400,Areas!A375,Comp!$G$75:$G$400)</f>
        <v>0</v>
      </c>
      <c r="AH375" s="155"/>
      <c r="AI375" s="155"/>
      <c r="AK375" s="147"/>
    </row>
    <row r="376" spans="1:37" s="132" customFormat="1">
      <c r="A376" s="142">
        <v>3.302</v>
      </c>
      <c r="B376" s="132" t="str">
        <f>Comp!B310</f>
        <v>EXECUTIVE DEPT</v>
      </c>
      <c r="C376" s="143">
        <f>SUM(C377:C378)</f>
        <v>17.187480396981815</v>
      </c>
      <c r="D376" s="143">
        <f>T376</f>
        <v>6.1317497632475666</v>
      </c>
      <c r="E376" s="143">
        <f>U376</f>
        <v>0</v>
      </c>
      <c r="F376" s="143">
        <f>V376</f>
        <v>0</v>
      </c>
      <c r="G376" s="410"/>
      <c r="H376" s="410"/>
      <c r="I376" s="410"/>
      <c r="J376" s="410"/>
      <c r="K376" s="410"/>
      <c r="L376" s="410"/>
      <c r="M376" s="410"/>
      <c r="N376" s="410"/>
      <c r="O376" s="410"/>
      <c r="P376" s="143">
        <f t="shared" si="114"/>
        <v>50.5</v>
      </c>
      <c r="Q376" s="143">
        <f t="shared" si="115"/>
        <v>50.5</v>
      </c>
      <c r="S376" s="154">
        <f>SUMIF('Flt III'!D:D,A376,'Flt III'!E:E)/3.2808^2</f>
        <v>0</v>
      </c>
      <c r="T376" s="154">
        <f>SUMIF('Flt IIa'!A:A,A376,'Flt IIa'!E:E)/3.2808^2</f>
        <v>6.1317497632475666</v>
      </c>
      <c r="U376" s="154">
        <f>SUMIF('OPC Des'!A:A,A376,'OPC Des'!F:F)/3.2808^2</f>
        <v>0</v>
      </c>
      <c r="V376" s="154">
        <f>SUMIF('LCS 5'!A:A,A376,'LCS 5'!E:E)</f>
        <v>0</v>
      </c>
      <c r="W376" s="154">
        <f>SUMIF('USCG Summary'!$A$25:$A$50,A376,'USCG Summary'!$D$25:$D$50)/3.2808^2</f>
        <v>0</v>
      </c>
      <c r="X376" s="153">
        <f>SUMIF('USCG Summary'!$A$25:$A$50,A376,'USCG Summary'!$I$25:$I$50)/3.2808^2</f>
        <v>0</v>
      </c>
      <c r="Y376" s="153">
        <f>SUMIF('USCG Summary'!$A$25:$A$50,A376,'USCG Summary'!$L$25:$L$50)/3.2808^2</f>
        <v>0</v>
      </c>
      <c r="Z376" s="153">
        <f>SUMIF('USCG Summary'!$A$25:$A$50,A376,'USCG Summary'!$O$25:$O$50)/3.2808^2</f>
        <v>0</v>
      </c>
      <c r="AA376" s="153">
        <f>SUMIF('USCG Summary'!$A$25:$A$50,A376,'USCG Summary'!$P$25:$P$50)/3.2808^2</f>
        <v>0</v>
      </c>
      <c r="AB376" s="153">
        <f>SUMIF('USCG Summary'!$A$25:$A$50,A376,'USCG Summary'!$Q$25:$Q$50)/3.2808^2</f>
        <v>0</v>
      </c>
      <c r="AC376" s="153">
        <f>SUMIF('USCG Summary'!$A$25:$A$50,A376,'USCG Summary'!$T$25:$T$50)/3.2808^2</f>
        <v>0</v>
      </c>
      <c r="AD376" s="153">
        <f>SUMIF('USCG Summary'!$A$25:$A$50,A376,'USCG Summary'!$W$25:$W$50)/3.2808^2</f>
        <v>0</v>
      </c>
      <c r="AE376" s="153">
        <f>SUMIF('USCG Summary'!$A$25:$A$50,A376,'USCG Summary'!$Z$25:$Z$50)/3.2808^2</f>
        <v>0</v>
      </c>
      <c r="AF376" s="154">
        <f>SUMIF(Comp!$A$75:$A$400,Areas!A376,Comp!$F$75:$F$400)</f>
        <v>50.5</v>
      </c>
      <c r="AG376" s="154">
        <f>SUMIF(Comp!$A$75:$A$400,Areas!A376,Comp!$G$75:$G$400)</f>
        <v>50.5</v>
      </c>
      <c r="AH376" s="154"/>
      <c r="AI376" s="154"/>
      <c r="AK376" s="143"/>
    </row>
    <row r="377" spans="1:37" s="148" customFormat="1">
      <c r="A377" s="146">
        <v>3.3020399999999999</v>
      </c>
      <c r="C377" s="147">
        <f t="shared" ref="C377:F378" si="123">S377</f>
        <v>11.706067729836263</v>
      </c>
      <c r="D377" s="147">
        <f t="shared" si="123"/>
        <v>0</v>
      </c>
      <c r="E377" s="147">
        <f t="shared" si="123"/>
        <v>0</v>
      </c>
      <c r="F377" s="147">
        <f t="shared" si="123"/>
        <v>0</v>
      </c>
      <c r="G377" s="411"/>
      <c r="H377" s="411"/>
      <c r="I377" s="411"/>
      <c r="J377" s="411"/>
      <c r="K377" s="411"/>
      <c r="L377" s="411"/>
      <c r="M377" s="411"/>
      <c r="N377" s="411"/>
      <c r="O377" s="411"/>
      <c r="P377" s="147">
        <f t="shared" si="114"/>
        <v>0</v>
      </c>
      <c r="Q377" s="147">
        <f t="shared" si="115"/>
        <v>0</v>
      </c>
      <c r="S377" s="155">
        <f>SUMIF('Flt III'!D:D,A377,'Flt III'!E:E)/3.2808^2</f>
        <v>11.706067729836263</v>
      </c>
      <c r="T377" s="155">
        <f>SUMIF('Flt IIa'!A:A,A377,'Flt IIa'!E:E)/3.2808^2</f>
        <v>0</v>
      </c>
      <c r="U377" s="155">
        <f>SUMIF('OPC Des'!A:A,A377,'OPC Des'!F:F)/3.2808^2</f>
        <v>0</v>
      </c>
      <c r="V377" s="155">
        <f>SUMIF('LCS 5'!A:A,A377,'LCS 5'!E:E)</f>
        <v>0</v>
      </c>
      <c r="W377" s="155">
        <f>SUMIF('USCG Summary'!$A$25:$A$50,A377,'USCG Summary'!$D$25:$D$50)/3.2808^2</f>
        <v>0</v>
      </c>
      <c r="X377" s="153">
        <f>SUMIF('USCG Summary'!$A$25:$A$50,A377,'USCG Summary'!$I$25:$I$50)/3.2808^2</f>
        <v>0</v>
      </c>
      <c r="Y377" s="153">
        <f>SUMIF('USCG Summary'!$A$25:$A$50,A377,'USCG Summary'!$L$25:$L$50)/3.2808^2</f>
        <v>0</v>
      </c>
      <c r="Z377" s="153">
        <f>SUMIF('USCG Summary'!$A$25:$A$50,A377,'USCG Summary'!$O$25:$O$50)/3.2808^2</f>
        <v>0</v>
      </c>
      <c r="AA377" s="153">
        <f>SUMIF('USCG Summary'!$A$25:$A$50,A377,'USCG Summary'!$P$25:$P$50)/3.2808^2</f>
        <v>0</v>
      </c>
      <c r="AB377" s="153">
        <f>SUMIF('USCG Summary'!$A$25:$A$50,A377,'USCG Summary'!$Q$25:$Q$50)/3.2808^2</f>
        <v>0</v>
      </c>
      <c r="AC377" s="153">
        <f>SUMIF('USCG Summary'!$A$25:$A$50,A377,'USCG Summary'!$T$25:$T$50)/3.2808^2</f>
        <v>0</v>
      </c>
      <c r="AD377" s="153">
        <f>SUMIF('USCG Summary'!$A$25:$A$50,A377,'USCG Summary'!$W$25:$W$50)/3.2808^2</f>
        <v>0</v>
      </c>
      <c r="AE377" s="153">
        <f>SUMIF('USCG Summary'!$A$25:$A$50,A377,'USCG Summary'!$Z$25:$Z$50)/3.2808^2</f>
        <v>0</v>
      </c>
      <c r="AF377" s="155">
        <f>SUMIF(Comp!$A$75:$A$400,Areas!A377,Comp!$F$75:$F$400)</f>
        <v>0</v>
      </c>
      <c r="AG377" s="155">
        <f>SUMIF(Comp!$A$75:$A$400,Areas!A377,Comp!$G$75:$G$400)</f>
        <v>0</v>
      </c>
      <c r="AH377" s="155"/>
      <c r="AI377" s="155"/>
      <c r="AK377" s="147"/>
    </row>
    <row r="378" spans="1:37" s="148" customFormat="1">
      <c r="A378" s="146">
        <v>3.3022399999999998</v>
      </c>
      <c r="C378" s="147">
        <f t="shared" si="123"/>
        <v>5.4814126671455519</v>
      </c>
      <c r="D378" s="147">
        <f t="shared" si="123"/>
        <v>0</v>
      </c>
      <c r="E378" s="147">
        <f t="shared" si="123"/>
        <v>0</v>
      </c>
      <c r="F378" s="147">
        <f t="shared" si="123"/>
        <v>0</v>
      </c>
      <c r="G378" s="411"/>
      <c r="H378" s="411"/>
      <c r="I378" s="411"/>
      <c r="J378" s="411"/>
      <c r="K378" s="411"/>
      <c r="L378" s="411"/>
      <c r="M378" s="411"/>
      <c r="N378" s="411"/>
      <c r="O378" s="411"/>
      <c r="P378" s="147">
        <f t="shared" si="114"/>
        <v>0</v>
      </c>
      <c r="Q378" s="147">
        <f t="shared" si="115"/>
        <v>0</v>
      </c>
      <c r="S378" s="155">
        <f>SUMIF('Flt III'!D:D,A378,'Flt III'!E:E)/3.2808^2</f>
        <v>5.4814126671455519</v>
      </c>
      <c r="T378" s="155">
        <f>SUMIF('Flt IIa'!A:A,A378,'Flt IIa'!E:E)/3.2808^2</f>
        <v>0</v>
      </c>
      <c r="U378" s="155">
        <f>SUMIF('OPC Des'!A:A,A378,'OPC Des'!F:F)/3.2808^2</f>
        <v>0</v>
      </c>
      <c r="V378" s="155">
        <f>SUMIF('LCS 5'!A:A,A378,'LCS 5'!E:E)</f>
        <v>0</v>
      </c>
      <c r="W378" s="155">
        <f>SUMIF('USCG Summary'!$A$25:$A$50,A378,'USCG Summary'!$D$25:$D$50)/3.2808^2</f>
        <v>0</v>
      </c>
      <c r="X378" s="153">
        <f>SUMIF('USCG Summary'!$A$25:$A$50,A378,'USCG Summary'!$I$25:$I$50)/3.2808^2</f>
        <v>0</v>
      </c>
      <c r="Y378" s="153">
        <f>SUMIF('USCG Summary'!$A$25:$A$50,A378,'USCG Summary'!$L$25:$L$50)/3.2808^2</f>
        <v>0</v>
      </c>
      <c r="Z378" s="153">
        <f>SUMIF('USCG Summary'!$A$25:$A$50,A378,'USCG Summary'!$O$25:$O$50)/3.2808^2</f>
        <v>0</v>
      </c>
      <c r="AA378" s="153">
        <f>SUMIF('USCG Summary'!$A$25:$A$50,A378,'USCG Summary'!$P$25:$P$50)/3.2808^2</f>
        <v>0</v>
      </c>
      <c r="AB378" s="153">
        <f>SUMIF('USCG Summary'!$A$25:$A$50,A378,'USCG Summary'!$Q$25:$Q$50)/3.2808^2</f>
        <v>0</v>
      </c>
      <c r="AC378" s="153">
        <f>SUMIF('USCG Summary'!$A$25:$A$50,A378,'USCG Summary'!$T$25:$T$50)/3.2808^2</f>
        <v>0</v>
      </c>
      <c r="AD378" s="153">
        <f>SUMIF('USCG Summary'!$A$25:$A$50,A378,'USCG Summary'!$W$25:$W$50)/3.2808^2</f>
        <v>0</v>
      </c>
      <c r="AE378" s="153">
        <f>SUMIF('USCG Summary'!$A$25:$A$50,A378,'USCG Summary'!$Z$25:$Z$50)/3.2808^2</f>
        <v>0</v>
      </c>
      <c r="AF378" s="155">
        <f>SUMIF(Comp!$A$75:$A$400,Areas!A378,Comp!$F$75:$F$400)</f>
        <v>0</v>
      </c>
      <c r="AG378" s="155">
        <f>SUMIF(Comp!$A$75:$A$400,Areas!A378,Comp!$G$75:$G$400)</f>
        <v>0</v>
      </c>
      <c r="AH378" s="155"/>
      <c r="AI378" s="155"/>
      <c r="AK378" s="147"/>
    </row>
    <row r="379" spans="1:37" s="132" customFormat="1">
      <c r="A379" s="142">
        <v>3.3029999999999999</v>
      </c>
      <c r="B379" s="132" t="str">
        <f>Comp!B311</f>
        <v>ENGINEERING DEPT</v>
      </c>
      <c r="C379" s="143">
        <f>SUM(C380:C381)</f>
        <v>40.042184059995471</v>
      </c>
      <c r="D379" s="143">
        <f>T379</f>
        <v>33.910434296747908</v>
      </c>
      <c r="E379" s="143">
        <f>SUM(E380:E381)</f>
        <v>8.7330981476556246</v>
      </c>
      <c r="F379" s="143">
        <f>SUM(F380:F381)</f>
        <v>0</v>
      </c>
      <c r="G379" s="410"/>
      <c r="H379" s="410"/>
      <c r="I379" s="410"/>
      <c r="J379" s="410"/>
      <c r="K379" s="410"/>
      <c r="L379" s="410"/>
      <c r="M379" s="410"/>
      <c r="N379" s="410"/>
      <c r="O379" s="410"/>
      <c r="P379" s="143">
        <f t="shared" si="114"/>
        <v>31</v>
      </c>
      <c r="Q379" s="143">
        <f t="shared" si="115"/>
        <v>31</v>
      </c>
      <c r="S379" s="154">
        <f>SUMIF('Flt III'!D:D,A379,'Flt III'!E:E)/3.2808^2</f>
        <v>0</v>
      </c>
      <c r="T379" s="154">
        <f>SUMIF('Flt IIa'!A:A,A379,'Flt IIa'!E:E)/3.2808^2</f>
        <v>33.910434296747908</v>
      </c>
      <c r="U379" s="154">
        <f>SUMIF('OPC Des'!A:A,A379,'OPC Des'!F:F)/3.2808^2</f>
        <v>0</v>
      </c>
      <c r="V379" s="154">
        <f>SUMIF('LCS 5'!A:A,A379,'LCS 5'!E:E)</f>
        <v>0</v>
      </c>
      <c r="W379" s="154">
        <f>SUMIF('USCG Summary'!$A$25:$A$50,A379,'USCG Summary'!$D$25:$D$50)/3.2808^2</f>
        <v>0</v>
      </c>
      <c r="X379" s="153">
        <f>SUMIF('USCG Summary'!$A$25:$A$50,A379,'USCG Summary'!$I$25:$I$50)/3.2808^2</f>
        <v>0</v>
      </c>
      <c r="Y379" s="153">
        <f>SUMIF('USCG Summary'!$A$25:$A$50,A379,'USCG Summary'!$L$25:$L$50)/3.2808^2</f>
        <v>0</v>
      </c>
      <c r="Z379" s="153">
        <f>SUMIF('USCG Summary'!$A$25:$A$50,A379,'USCG Summary'!$O$25:$O$50)/3.2808^2</f>
        <v>0</v>
      </c>
      <c r="AA379" s="153">
        <f>SUMIF('USCG Summary'!$A$25:$A$50,A379,'USCG Summary'!$P$25:$P$50)/3.2808^2</f>
        <v>0</v>
      </c>
      <c r="AB379" s="153">
        <f>SUMIF('USCG Summary'!$A$25:$A$50,A379,'USCG Summary'!$Q$25:$Q$50)/3.2808^2</f>
        <v>0</v>
      </c>
      <c r="AC379" s="153">
        <f>SUMIF('USCG Summary'!$A$25:$A$50,A379,'USCG Summary'!$T$25:$T$50)/3.2808^2</f>
        <v>0</v>
      </c>
      <c r="AD379" s="153">
        <f>SUMIF('USCG Summary'!$A$25:$A$50,A379,'USCG Summary'!$W$25:$W$50)/3.2808^2</f>
        <v>0</v>
      </c>
      <c r="AE379" s="153">
        <f>SUMIF('USCG Summary'!$A$25:$A$50,A379,'USCG Summary'!$Z$25:$Z$50)/3.2808^2</f>
        <v>0</v>
      </c>
      <c r="AF379" s="154">
        <f>SUMIF(Comp!$A$75:$A$400,Areas!A379,Comp!$F$75:$F$400)</f>
        <v>31</v>
      </c>
      <c r="AG379" s="154">
        <f>SUMIF(Comp!$A$75:$A$400,Areas!A379,Comp!$G$75:$G$400)</f>
        <v>31</v>
      </c>
      <c r="AH379" s="154"/>
      <c r="AI379" s="154"/>
      <c r="AK379" s="143"/>
    </row>
    <row r="380" spans="1:37" s="148" customFormat="1">
      <c r="A380" s="146" t="s">
        <v>900</v>
      </c>
      <c r="C380" s="147">
        <f t="shared" ref="C380:F381" si="124">S380</f>
        <v>32.145233607328151</v>
      </c>
      <c r="D380" s="147">
        <f t="shared" si="124"/>
        <v>0</v>
      </c>
      <c r="E380" s="147">
        <f t="shared" si="124"/>
        <v>8.7330981476556246</v>
      </c>
      <c r="F380" s="147">
        <f t="shared" si="124"/>
        <v>0</v>
      </c>
      <c r="G380" s="411"/>
      <c r="H380" s="411"/>
      <c r="I380" s="411"/>
      <c r="J380" s="411"/>
      <c r="K380" s="411"/>
      <c r="L380" s="411"/>
      <c r="M380" s="411"/>
      <c r="N380" s="411"/>
      <c r="O380" s="411"/>
      <c r="P380" s="147">
        <f t="shared" si="114"/>
        <v>0</v>
      </c>
      <c r="Q380" s="147">
        <f t="shared" si="115"/>
        <v>0</v>
      </c>
      <c r="S380" s="155">
        <f>SUMIF('Flt III'!D:D,A380,'Flt III'!E:E)/3.2808^2</f>
        <v>32.145233607328151</v>
      </c>
      <c r="T380" s="155">
        <f>SUMIF('Flt IIa'!A:A,A380,'Flt IIa'!E:E)/3.2808^2</f>
        <v>0</v>
      </c>
      <c r="U380" s="155">
        <f>SUMIF('OPC Des'!A:A,A380,'OPC Des'!F:F)/3.2808^2</f>
        <v>8.7330981476556246</v>
      </c>
      <c r="V380" s="155">
        <f>SUMIF('LCS 5'!A:A,A380,'LCS 5'!E:E)</f>
        <v>0</v>
      </c>
      <c r="W380" s="155">
        <f>SUMIF('USCG Summary'!$A$25:$A$50,A380,'USCG Summary'!$D$25:$D$50)/3.2808^2</f>
        <v>0</v>
      </c>
      <c r="X380" s="153">
        <f>SUMIF('USCG Summary'!$A$25:$A$50,A380,'USCG Summary'!$I$25:$I$50)/3.2808^2</f>
        <v>0</v>
      </c>
      <c r="Y380" s="153">
        <f>SUMIF('USCG Summary'!$A$25:$A$50,A380,'USCG Summary'!$L$25:$L$50)/3.2808^2</f>
        <v>0</v>
      </c>
      <c r="Z380" s="153">
        <f>SUMIF('USCG Summary'!$A$25:$A$50,A380,'USCG Summary'!$O$25:$O$50)/3.2808^2</f>
        <v>0</v>
      </c>
      <c r="AA380" s="153">
        <f>SUMIF('USCG Summary'!$A$25:$A$50,A380,'USCG Summary'!$P$25:$P$50)/3.2808^2</f>
        <v>0</v>
      </c>
      <c r="AB380" s="153">
        <f>SUMIF('USCG Summary'!$A$25:$A$50,A380,'USCG Summary'!$Q$25:$Q$50)/3.2808^2</f>
        <v>0</v>
      </c>
      <c r="AC380" s="153">
        <f>SUMIF('USCG Summary'!$A$25:$A$50,A380,'USCG Summary'!$T$25:$T$50)/3.2808^2</f>
        <v>0</v>
      </c>
      <c r="AD380" s="153">
        <f>SUMIF('USCG Summary'!$A$25:$A$50,A380,'USCG Summary'!$W$25:$W$50)/3.2808^2</f>
        <v>0</v>
      </c>
      <c r="AE380" s="153">
        <f>SUMIF('USCG Summary'!$A$25:$A$50,A380,'USCG Summary'!$Z$25:$Z$50)/3.2808^2</f>
        <v>0</v>
      </c>
      <c r="AF380" s="155">
        <f>SUMIF(Comp!$A$75:$A$400,Areas!A380,Comp!$F$75:$F$400)</f>
        <v>0</v>
      </c>
      <c r="AG380" s="155">
        <f>SUMIF(Comp!$A$75:$A$400,Areas!A380,Comp!$G$75:$G$400)</f>
        <v>0</v>
      </c>
      <c r="AH380" s="155"/>
      <c r="AI380" s="155"/>
      <c r="AK380" s="147"/>
    </row>
    <row r="381" spans="1:37" s="148" customFormat="1">
      <c r="A381" s="146" t="s">
        <v>895</v>
      </c>
      <c r="C381" s="147">
        <f t="shared" si="124"/>
        <v>7.8969504526673209</v>
      </c>
      <c r="D381" s="147">
        <f t="shared" si="124"/>
        <v>0</v>
      </c>
      <c r="E381" s="147">
        <f t="shared" si="124"/>
        <v>0</v>
      </c>
      <c r="F381" s="147">
        <f t="shared" si="124"/>
        <v>0</v>
      </c>
      <c r="G381" s="411"/>
      <c r="H381" s="411"/>
      <c r="I381" s="411"/>
      <c r="J381" s="411"/>
      <c r="K381" s="411"/>
      <c r="L381" s="411"/>
      <c r="M381" s="411"/>
      <c r="N381" s="411"/>
      <c r="O381" s="411"/>
      <c r="P381" s="147">
        <f t="shared" si="114"/>
        <v>0</v>
      </c>
      <c r="Q381" s="147">
        <f t="shared" si="115"/>
        <v>0</v>
      </c>
      <c r="S381" s="155">
        <f>SUMIF('Flt III'!D:D,A381,'Flt III'!E:E)/3.2808^2</f>
        <v>7.8969504526673209</v>
      </c>
      <c r="T381" s="155">
        <f>SUMIF('Flt IIa'!A:A,A381,'Flt IIa'!E:E)/3.2808^2</f>
        <v>0</v>
      </c>
      <c r="U381" s="155">
        <f>SUMIF('OPC Des'!A:A,A381,'OPC Des'!F:F)/3.2808^2</f>
        <v>0</v>
      </c>
      <c r="V381" s="155">
        <f>SUMIF('LCS 5'!A:A,A381,'LCS 5'!E:E)</f>
        <v>0</v>
      </c>
      <c r="W381" s="155">
        <f>SUMIF('USCG Summary'!$A$25:$A$50,A381,'USCG Summary'!$D$25:$D$50)/3.2808^2</f>
        <v>0</v>
      </c>
      <c r="X381" s="153">
        <f>SUMIF('USCG Summary'!$A$25:$A$50,A381,'USCG Summary'!$I$25:$I$50)/3.2808^2</f>
        <v>0</v>
      </c>
      <c r="Y381" s="153">
        <f>SUMIF('USCG Summary'!$A$25:$A$50,A381,'USCG Summary'!$L$25:$L$50)/3.2808^2</f>
        <v>0</v>
      </c>
      <c r="Z381" s="153">
        <f>SUMIF('USCG Summary'!$A$25:$A$50,A381,'USCG Summary'!$O$25:$O$50)/3.2808^2</f>
        <v>0</v>
      </c>
      <c r="AA381" s="153">
        <f>SUMIF('USCG Summary'!$A$25:$A$50,A381,'USCG Summary'!$P$25:$P$50)/3.2808^2</f>
        <v>0</v>
      </c>
      <c r="AB381" s="153">
        <f>SUMIF('USCG Summary'!$A$25:$A$50,A381,'USCG Summary'!$Q$25:$Q$50)/3.2808^2</f>
        <v>0</v>
      </c>
      <c r="AC381" s="153">
        <f>SUMIF('USCG Summary'!$A$25:$A$50,A381,'USCG Summary'!$T$25:$T$50)/3.2808^2</f>
        <v>0</v>
      </c>
      <c r="AD381" s="153">
        <f>SUMIF('USCG Summary'!$A$25:$A$50,A381,'USCG Summary'!$W$25:$W$50)/3.2808^2</f>
        <v>0</v>
      </c>
      <c r="AE381" s="153">
        <f>SUMIF('USCG Summary'!$A$25:$A$50,A381,'USCG Summary'!$Z$25:$Z$50)/3.2808^2</f>
        <v>0</v>
      </c>
      <c r="AF381" s="155">
        <f>SUMIF(Comp!$A$75:$A$400,Areas!A381,Comp!$F$75:$F$400)</f>
        <v>0</v>
      </c>
      <c r="AG381" s="155">
        <f>SUMIF(Comp!$A$75:$A$400,Areas!A381,Comp!$G$75:$G$400)</f>
        <v>0</v>
      </c>
      <c r="AH381" s="155"/>
      <c r="AI381" s="155"/>
      <c r="AK381" s="147"/>
    </row>
    <row r="382" spans="1:37" s="132" customFormat="1">
      <c r="A382" s="142">
        <v>3.3039999999999998</v>
      </c>
      <c r="B382" s="132" t="str">
        <f>Comp!B312</f>
        <v>SUPPLY DEPT</v>
      </c>
      <c r="C382" s="143">
        <f>SUM(C383:C385)</f>
        <v>57.694190954193004</v>
      </c>
      <c r="D382" s="143">
        <f>T382</f>
        <v>64.569183112985741</v>
      </c>
      <c r="E382" s="143">
        <f>U382</f>
        <v>0</v>
      </c>
      <c r="F382" s="143">
        <f>V382</f>
        <v>0</v>
      </c>
      <c r="G382" s="410"/>
      <c r="H382" s="410"/>
      <c r="I382" s="410"/>
      <c r="J382" s="410"/>
      <c r="K382" s="410"/>
      <c r="L382" s="410"/>
      <c r="M382" s="410"/>
      <c r="N382" s="410"/>
      <c r="O382" s="410"/>
      <c r="P382" s="143">
        <f t="shared" si="114"/>
        <v>44.4</v>
      </c>
      <c r="Q382" s="143">
        <f t="shared" si="115"/>
        <v>44.4</v>
      </c>
      <c r="S382" s="154">
        <f>SUMIF('Flt III'!D:D,A382,'Flt III'!E:E)/3.2808^2</f>
        <v>0</v>
      </c>
      <c r="T382" s="154">
        <f>SUMIF('Flt IIa'!A:A,A382,'Flt IIa'!E:E)/3.2808^2</f>
        <v>64.569183112985741</v>
      </c>
      <c r="U382" s="154">
        <f>SUMIF('OPC Des'!A:A,A382,'OPC Des'!F:F)/3.2808^2</f>
        <v>0</v>
      </c>
      <c r="V382" s="154">
        <f>SUMIF('LCS 5'!A:A,A382,'LCS 5'!E:E)</f>
        <v>0</v>
      </c>
      <c r="W382" s="154">
        <f>SUMIF('USCG Summary'!$A$25:$A$50,A382,'USCG Summary'!$D$25:$D$50)/3.2808^2</f>
        <v>0</v>
      </c>
      <c r="X382" s="153">
        <f>SUMIF('USCG Summary'!$A$25:$A$50,A382,'USCG Summary'!$I$25:$I$50)/3.2808^2</f>
        <v>0</v>
      </c>
      <c r="Y382" s="153">
        <f>SUMIF('USCG Summary'!$A$25:$A$50,A382,'USCG Summary'!$L$25:$L$50)/3.2808^2</f>
        <v>0</v>
      </c>
      <c r="Z382" s="153">
        <f>SUMIF('USCG Summary'!$A$25:$A$50,A382,'USCG Summary'!$O$25:$O$50)/3.2808^2</f>
        <v>0</v>
      </c>
      <c r="AA382" s="153">
        <f>SUMIF('USCG Summary'!$A$25:$A$50,A382,'USCG Summary'!$P$25:$P$50)/3.2808^2</f>
        <v>0</v>
      </c>
      <c r="AB382" s="153">
        <f>SUMIF('USCG Summary'!$A$25:$A$50,A382,'USCG Summary'!$Q$25:$Q$50)/3.2808^2</f>
        <v>0</v>
      </c>
      <c r="AC382" s="153">
        <f>SUMIF('USCG Summary'!$A$25:$A$50,A382,'USCG Summary'!$T$25:$T$50)/3.2808^2</f>
        <v>0</v>
      </c>
      <c r="AD382" s="153">
        <f>SUMIF('USCG Summary'!$A$25:$A$50,A382,'USCG Summary'!$W$25:$W$50)/3.2808^2</f>
        <v>0</v>
      </c>
      <c r="AE382" s="153">
        <f>SUMIF('USCG Summary'!$A$25:$A$50,A382,'USCG Summary'!$Z$25:$Z$50)/3.2808^2</f>
        <v>0</v>
      </c>
      <c r="AF382" s="154">
        <f>SUMIF(Comp!$A$75:$A$400,Areas!A382,Comp!$F$75:$F$400)</f>
        <v>44.4</v>
      </c>
      <c r="AG382" s="154">
        <f>SUMIF(Comp!$A$75:$A$400,Areas!A382,Comp!$G$75:$G$400)</f>
        <v>44.4</v>
      </c>
      <c r="AH382" s="154"/>
      <c r="AI382" s="154"/>
      <c r="AK382" s="143"/>
    </row>
    <row r="383" spans="1:37" s="148" customFormat="1">
      <c r="A383" s="146" t="s">
        <v>890</v>
      </c>
      <c r="C383" s="147">
        <f t="shared" ref="C383:F385" si="125">S383</f>
        <v>23.783756657445107</v>
      </c>
      <c r="D383" s="147">
        <f t="shared" si="125"/>
        <v>0</v>
      </c>
      <c r="E383" s="147">
        <f t="shared" si="125"/>
        <v>0</v>
      </c>
      <c r="F383" s="147">
        <f t="shared" si="125"/>
        <v>0</v>
      </c>
      <c r="G383" s="411"/>
      <c r="H383" s="411"/>
      <c r="I383" s="411"/>
      <c r="J383" s="411"/>
      <c r="K383" s="411"/>
      <c r="L383" s="411"/>
      <c r="M383" s="411"/>
      <c r="N383" s="411"/>
      <c r="O383" s="411"/>
      <c r="P383" s="147">
        <f t="shared" si="114"/>
        <v>0</v>
      </c>
      <c r="Q383" s="147">
        <f t="shared" si="115"/>
        <v>0</v>
      </c>
      <c r="S383" s="155">
        <f>SUMIF('Flt III'!D:D,A383,'Flt III'!E:E)/3.2808^2</f>
        <v>23.783756657445107</v>
      </c>
      <c r="T383" s="155">
        <f>SUMIF('Flt IIa'!A:A,A383,'Flt IIa'!E:E)/3.2808^2</f>
        <v>0</v>
      </c>
      <c r="U383" s="155">
        <f>SUMIF('OPC Des'!A:A,A383,'OPC Des'!F:F)/3.2808^2</f>
        <v>0</v>
      </c>
      <c r="V383" s="155">
        <f>SUMIF('LCS 5'!A:A,A383,'LCS 5'!E:E)</f>
        <v>0</v>
      </c>
      <c r="W383" s="155">
        <f>SUMIF('USCG Summary'!$A$25:$A$50,A383,'USCG Summary'!$D$25:$D$50)/3.2808^2</f>
        <v>0</v>
      </c>
      <c r="X383" s="153">
        <f>SUMIF('USCG Summary'!$A$25:$A$50,A383,'USCG Summary'!$I$25:$I$50)/3.2808^2</f>
        <v>0</v>
      </c>
      <c r="Y383" s="153">
        <f>SUMIF('USCG Summary'!$A$25:$A$50,A383,'USCG Summary'!$L$25:$L$50)/3.2808^2</f>
        <v>0</v>
      </c>
      <c r="Z383" s="153">
        <f>SUMIF('USCG Summary'!$A$25:$A$50,A383,'USCG Summary'!$O$25:$O$50)/3.2808^2</f>
        <v>0</v>
      </c>
      <c r="AA383" s="153">
        <f>SUMIF('USCG Summary'!$A$25:$A$50,A383,'USCG Summary'!$P$25:$P$50)/3.2808^2</f>
        <v>0</v>
      </c>
      <c r="AB383" s="153">
        <f>SUMIF('USCG Summary'!$A$25:$A$50,A383,'USCG Summary'!$Q$25:$Q$50)/3.2808^2</f>
        <v>0</v>
      </c>
      <c r="AC383" s="153">
        <f>SUMIF('USCG Summary'!$A$25:$A$50,A383,'USCG Summary'!$T$25:$T$50)/3.2808^2</f>
        <v>0</v>
      </c>
      <c r="AD383" s="153">
        <f>SUMIF('USCG Summary'!$A$25:$A$50,A383,'USCG Summary'!$W$25:$W$50)/3.2808^2</f>
        <v>0</v>
      </c>
      <c r="AE383" s="153">
        <f>SUMIF('USCG Summary'!$A$25:$A$50,A383,'USCG Summary'!$Z$25:$Z$50)/3.2808^2</f>
        <v>0</v>
      </c>
      <c r="AF383" s="155">
        <f>SUMIF(Comp!$A$75:$A$400,Areas!A383,Comp!$F$75:$F$400)</f>
        <v>0</v>
      </c>
      <c r="AG383" s="155">
        <f>SUMIF(Comp!$A$75:$A$400,Areas!A383,Comp!$G$75:$G$400)</f>
        <v>0</v>
      </c>
      <c r="AH383" s="155"/>
      <c r="AI383" s="155"/>
      <c r="AK383" s="147"/>
    </row>
    <row r="384" spans="1:37" s="148" customFormat="1">
      <c r="A384" s="146" t="s">
        <v>887</v>
      </c>
      <c r="C384" s="147">
        <f t="shared" si="125"/>
        <v>26.942536838512034</v>
      </c>
      <c r="D384" s="147">
        <f t="shared" si="125"/>
        <v>0</v>
      </c>
      <c r="E384" s="147">
        <f t="shared" si="125"/>
        <v>0</v>
      </c>
      <c r="F384" s="147">
        <f t="shared" si="125"/>
        <v>0</v>
      </c>
      <c r="G384" s="411"/>
      <c r="H384" s="411"/>
      <c r="I384" s="411"/>
      <c r="J384" s="411"/>
      <c r="K384" s="411"/>
      <c r="L384" s="411"/>
      <c r="M384" s="411"/>
      <c r="N384" s="411"/>
      <c r="O384" s="411"/>
      <c r="P384" s="147">
        <f t="shared" si="114"/>
        <v>0</v>
      </c>
      <c r="Q384" s="147">
        <f t="shared" si="115"/>
        <v>0</v>
      </c>
      <c r="S384" s="155">
        <f>SUMIF('Flt III'!D:D,A384,'Flt III'!E:E)/3.2808^2</f>
        <v>26.942536838512034</v>
      </c>
      <c r="T384" s="155">
        <f>SUMIF('Flt IIa'!A:A,A384,'Flt IIa'!E:E)/3.2808^2</f>
        <v>0</v>
      </c>
      <c r="U384" s="155">
        <f>SUMIF('OPC Des'!A:A,A384,'OPC Des'!F:F)/3.2808^2</f>
        <v>0</v>
      </c>
      <c r="V384" s="155">
        <f>SUMIF('LCS 5'!A:A,A384,'LCS 5'!E:E)</f>
        <v>0</v>
      </c>
      <c r="W384" s="155">
        <f>SUMIF('USCG Summary'!$A$25:$A$50,A384,'USCG Summary'!$D$25:$D$50)/3.2808^2</f>
        <v>0</v>
      </c>
      <c r="X384" s="153">
        <f>SUMIF('USCG Summary'!$A$25:$A$50,A384,'USCG Summary'!$I$25:$I$50)/3.2808^2</f>
        <v>0</v>
      </c>
      <c r="Y384" s="153">
        <f>SUMIF('USCG Summary'!$A$25:$A$50,A384,'USCG Summary'!$L$25:$L$50)/3.2808^2</f>
        <v>0</v>
      </c>
      <c r="Z384" s="153">
        <f>SUMIF('USCG Summary'!$A$25:$A$50,A384,'USCG Summary'!$O$25:$O$50)/3.2808^2</f>
        <v>0</v>
      </c>
      <c r="AA384" s="153">
        <f>SUMIF('USCG Summary'!$A$25:$A$50,A384,'USCG Summary'!$P$25:$P$50)/3.2808^2</f>
        <v>0</v>
      </c>
      <c r="AB384" s="153">
        <f>SUMIF('USCG Summary'!$A$25:$A$50,A384,'USCG Summary'!$Q$25:$Q$50)/3.2808^2</f>
        <v>0</v>
      </c>
      <c r="AC384" s="153">
        <f>SUMIF('USCG Summary'!$A$25:$A$50,A384,'USCG Summary'!$T$25:$T$50)/3.2808^2</f>
        <v>0</v>
      </c>
      <c r="AD384" s="153">
        <f>SUMIF('USCG Summary'!$A$25:$A$50,A384,'USCG Summary'!$W$25:$W$50)/3.2808^2</f>
        <v>0</v>
      </c>
      <c r="AE384" s="153">
        <f>SUMIF('USCG Summary'!$A$25:$A$50,A384,'USCG Summary'!$Z$25:$Z$50)/3.2808^2</f>
        <v>0</v>
      </c>
      <c r="AF384" s="155">
        <f>SUMIF(Comp!$A$75:$A$400,Areas!A384,Comp!$F$75:$F$400)</f>
        <v>0</v>
      </c>
      <c r="AG384" s="155">
        <f>SUMIF(Comp!$A$75:$A$400,Areas!A384,Comp!$G$75:$G$400)</f>
        <v>0</v>
      </c>
      <c r="AH384" s="155"/>
      <c r="AI384" s="155"/>
      <c r="AK384" s="147"/>
    </row>
    <row r="385" spans="1:37" s="148" customFormat="1">
      <c r="A385" s="146" t="s">
        <v>884</v>
      </c>
      <c r="C385" s="147">
        <f t="shared" si="125"/>
        <v>6.9678974582358713</v>
      </c>
      <c r="D385" s="147">
        <f t="shared" si="125"/>
        <v>0</v>
      </c>
      <c r="E385" s="147">
        <f t="shared" si="125"/>
        <v>0</v>
      </c>
      <c r="F385" s="147">
        <f t="shared" si="125"/>
        <v>0</v>
      </c>
      <c r="G385" s="411"/>
      <c r="H385" s="411"/>
      <c r="I385" s="411"/>
      <c r="J385" s="411"/>
      <c r="K385" s="411"/>
      <c r="L385" s="411"/>
      <c r="M385" s="411"/>
      <c r="N385" s="411"/>
      <c r="O385" s="411"/>
      <c r="P385" s="147">
        <f t="shared" si="114"/>
        <v>0</v>
      </c>
      <c r="Q385" s="147">
        <f t="shared" si="115"/>
        <v>0</v>
      </c>
      <c r="S385" s="155">
        <f>SUMIF('Flt III'!D:D,A385,'Flt III'!E:E)/3.2808^2</f>
        <v>6.9678974582358713</v>
      </c>
      <c r="T385" s="155">
        <f>SUMIF('Flt IIa'!A:A,A385,'Flt IIa'!E:E)/3.2808^2</f>
        <v>0</v>
      </c>
      <c r="U385" s="155">
        <f>SUMIF('OPC Des'!A:A,A385,'OPC Des'!F:F)/3.2808^2</f>
        <v>0</v>
      </c>
      <c r="V385" s="155">
        <f>SUMIF('LCS 5'!A:A,A385,'LCS 5'!E:E)</f>
        <v>0</v>
      </c>
      <c r="W385" s="155">
        <f>SUMIF('USCG Summary'!$A$25:$A$50,A385,'USCG Summary'!$D$25:$D$50)/3.2808^2</f>
        <v>0</v>
      </c>
      <c r="X385" s="153">
        <f>SUMIF('USCG Summary'!$A$25:$A$50,A385,'USCG Summary'!$I$25:$I$50)/3.2808^2</f>
        <v>0</v>
      </c>
      <c r="Y385" s="153">
        <f>SUMIF('USCG Summary'!$A$25:$A$50,A385,'USCG Summary'!$L$25:$L$50)/3.2808^2</f>
        <v>0</v>
      </c>
      <c r="Z385" s="153">
        <f>SUMIF('USCG Summary'!$A$25:$A$50,A385,'USCG Summary'!$O$25:$O$50)/3.2808^2</f>
        <v>0</v>
      </c>
      <c r="AA385" s="153">
        <f>SUMIF('USCG Summary'!$A$25:$A$50,A385,'USCG Summary'!$P$25:$P$50)/3.2808^2</f>
        <v>0</v>
      </c>
      <c r="AB385" s="153">
        <f>SUMIF('USCG Summary'!$A$25:$A$50,A385,'USCG Summary'!$Q$25:$Q$50)/3.2808^2</f>
        <v>0</v>
      </c>
      <c r="AC385" s="153">
        <f>SUMIF('USCG Summary'!$A$25:$A$50,A385,'USCG Summary'!$T$25:$T$50)/3.2808^2</f>
        <v>0</v>
      </c>
      <c r="AD385" s="153">
        <f>SUMIF('USCG Summary'!$A$25:$A$50,A385,'USCG Summary'!$W$25:$W$50)/3.2808^2</f>
        <v>0</v>
      </c>
      <c r="AE385" s="153">
        <f>SUMIF('USCG Summary'!$A$25:$A$50,A385,'USCG Summary'!$Z$25:$Z$50)/3.2808^2</f>
        <v>0</v>
      </c>
      <c r="AF385" s="155">
        <f>SUMIF(Comp!$A$75:$A$400,Areas!A385,Comp!$F$75:$F$400)</f>
        <v>0</v>
      </c>
      <c r="AG385" s="155">
        <f>SUMIF(Comp!$A$75:$A$400,Areas!A385,Comp!$G$75:$G$400)</f>
        <v>0</v>
      </c>
      <c r="AH385" s="155"/>
      <c r="AI385" s="155"/>
      <c r="AK385" s="147"/>
    </row>
    <row r="386" spans="1:37" s="132" customFormat="1">
      <c r="A386" s="142">
        <v>3.3050000000000002</v>
      </c>
      <c r="B386" s="132" t="str">
        <f>Comp!B313</f>
        <v>DECK DEPT</v>
      </c>
      <c r="C386" s="143">
        <f>SUM(C387)</f>
        <v>4.5523596727141022</v>
      </c>
      <c r="D386" s="143">
        <f>T386</f>
        <v>4.6452649721572472</v>
      </c>
      <c r="E386" s="143">
        <f>SUM(E387)</f>
        <v>0.74324239554515958</v>
      </c>
      <c r="F386" s="143">
        <f>SUM(F387)</f>
        <v>0</v>
      </c>
      <c r="G386" s="410"/>
      <c r="H386" s="410"/>
      <c r="I386" s="410"/>
      <c r="J386" s="410"/>
      <c r="K386" s="410"/>
      <c r="L386" s="410"/>
      <c r="M386" s="410"/>
      <c r="N386" s="410"/>
      <c r="O386" s="410"/>
      <c r="P386" s="143">
        <f t="shared" si="114"/>
        <v>13.4</v>
      </c>
      <c r="Q386" s="143">
        <f t="shared" si="115"/>
        <v>13.4</v>
      </c>
      <c r="S386" s="154">
        <f>SUMIF('Flt III'!D:D,A386,'Flt III'!E:E)/3.2808^2</f>
        <v>0</v>
      </c>
      <c r="T386" s="154">
        <f>SUMIF('Flt IIa'!A:A,A386,'Flt IIa'!E:E)/3.2808^2</f>
        <v>4.6452649721572472</v>
      </c>
      <c r="U386" s="154">
        <f>SUMIF('OPC Des'!A:A,A386,'OPC Des'!F:F)/3.2808^2</f>
        <v>0</v>
      </c>
      <c r="V386" s="154">
        <f>SUMIF('LCS 5'!A:A,A386,'LCS 5'!E:E)</f>
        <v>0</v>
      </c>
      <c r="W386" s="154">
        <f>SUMIF('USCG Summary'!$A$25:$A$50,A386,'USCG Summary'!$D$25:$D$50)/3.2808^2</f>
        <v>0</v>
      </c>
      <c r="X386" s="153">
        <f>SUMIF('USCG Summary'!$A$25:$A$50,A386,'USCG Summary'!$I$25:$I$50)/3.2808^2</f>
        <v>0</v>
      </c>
      <c r="Y386" s="153">
        <f>SUMIF('USCG Summary'!$A$25:$A$50,A386,'USCG Summary'!$L$25:$L$50)/3.2808^2</f>
        <v>0</v>
      </c>
      <c r="Z386" s="153">
        <f>SUMIF('USCG Summary'!$A$25:$A$50,A386,'USCG Summary'!$O$25:$O$50)/3.2808^2</f>
        <v>0</v>
      </c>
      <c r="AA386" s="153">
        <f>SUMIF('USCG Summary'!$A$25:$A$50,A386,'USCG Summary'!$P$25:$P$50)/3.2808^2</f>
        <v>0</v>
      </c>
      <c r="AB386" s="153">
        <f>SUMIF('USCG Summary'!$A$25:$A$50,A386,'USCG Summary'!$Q$25:$Q$50)/3.2808^2</f>
        <v>0</v>
      </c>
      <c r="AC386" s="153">
        <f>SUMIF('USCG Summary'!$A$25:$A$50,A386,'USCG Summary'!$T$25:$T$50)/3.2808^2</f>
        <v>0</v>
      </c>
      <c r="AD386" s="153">
        <f>SUMIF('USCG Summary'!$A$25:$A$50,A386,'USCG Summary'!$W$25:$W$50)/3.2808^2</f>
        <v>0</v>
      </c>
      <c r="AE386" s="153">
        <f>SUMIF('USCG Summary'!$A$25:$A$50,A386,'USCG Summary'!$Z$25:$Z$50)/3.2808^2</f>
        <v>0</v>
      </c>
      <c r="AF386" s="154">
        <f>SUMIF(Comp!$A$75:$A$400,Areas!A386,Comp!$F$75:$F$400)</f>
        <v>13.4</v>
      </c>
      <c r="AG386" s="154">
        <f>SUMIF(Comp!$A$75:$A$400,Areas!A386,Comp!$G$75:$G$400)</f>
        <v>13.4</v>
      </c>
      <c r="AH386" s="154"/>
      <c r="AI386" s="154"/>
      <c r="AK386" s="143"/>
    </row>
    <row r="387" spans="1:37" s="148" customFormat="1">
      <c r="A387" s="146" t="s">
        <v>877</v>
      </c>
      <c r="C387" s="147">
        <f t="shared" ref="C387:F387" si="126">S387</f>
        <v>4.5523596727141022</v>
      </c>
      <c r="D387" s="147">
        <f t="shared" si="126"/>
        <v>0</v>
      </c>
      <c r="E387" s="147">
        <f t="shared" si="126"/>
        <v>0.74324239554515958</v>
      </c>
      <c r="F387" s="147">
        <f t="shared" si="126"/>
        <v>0</v>
      </c>
      <c r="G387" s="411"/>
      <c r="H387" s="411"/>
      <c r="I387" s="411"/>
      <c r="J387" s="411"/>
      <c r="K387" s="411"/>
      <c r="L387" s="411"/>
      <c r="M387" s="411"/>
      <c r="N387" s="411"/>
      <c r="O387" s="411"/>
      <c r="P387" s="147">
        <f t="shared" si="114"/>
        <v>0</v>
      </c>
      <c r="Q387" s="147">
        <f t="shared" si="115"/>
        <v>0</v>
      </c>
      <c r="S387" s="155">
        <f>SUMIF('Flt III'!D:D,A387,'Flt III'!E:E)/3.2808^2</f>
        <v>4.5523596727141022</v>
      </c>
      <c r="T387" s="155">
        <f>SUMIF('Flt IIa'!A:A,A387,'Flt IIa'!E:E)/3.2808^2</f>
        <v>0</v>
      </c>
      <c r="U387" s="155">
        <f>SUMIF('OPC Des'!A:A,A387,'OPC Des'!F:F)/3.2808^2</f>
        <v>0.74324239554515958</v>
      </c>
      <c r="V387" s="155">
        <f>SUMIF('LCS 5'!A:A,A387,'LCS 5'!E:E)</f>
        <v>0</v>
      </c>
      <c r="W387" s="155">
        <f>SUMIF('USCG Summary'!$A$25:$A$50,A387,'USCG Summary'!$D$25:$D$50)/3.2808^2</f>
        <v>0</v>
      </c>
      <c r="X387" s="153">
        <f>SUMIF('USCG Summary'!$A$25:$A$50,A387,'USCG Summary'!$I$25:$I$50)/3.2808^2</f>
        <v>0</v>
      </c>
      <c r="Y387" s="153">
        <f>SUMIF('USCG Summary'!$A$25:$A$50,A387,'USCG Summary'!$L$25:$L$50)/3.2808^2</f>
        <v>0</v>
      </c>
      <c r="Z387" s="153">
        <f>SUMIF('USCG Summary'!$A$25:$A$50,A387,'USCG Summary'!$O$25:$O$50)/3.2808^2</f>
        <v>0</v>
      </c>
      <c r="AA387" s="153">
        <f>SUMIF('USCG Summary'!$A$25:$A$50,A387,'USCG Summary'!$P$25:$P$50)/3.2808^2</f>
        <v>0</v>
      </c>
      <c r="AB387" s="153">
        <f>SUMIF('USCG Summary'!$A$25:$A$50,A387,'USCG Summary'!$Q$25:$Q$50)/3.2808^2</f>
        <v>0</v>
      </c>
      <c r="AC387" s="153">
        <f>SUMIF('USCG Summary'!$A$25:$A$50,A387,'USCG Summary'!$T$25:$T$50)/3.2808^2</f>
        <v>0</v>
      </c>
      <c r="AD387" s="153">
        <f>SUMIF('USCG Summary'!$A$25:$A$50,A387,'USCG Summary'!$W$25:$W$50)/3.2808^2</f>
        <v>0</v>
      </c>
      <c r="AE387" s="153">
        <f>SUMIF('USCG Summary'!$A$25:$A$50,A387,'USCG Summary'!$Z$25:$Z$50)/3.2808^2</f>
        <v>0</v>
      </c>
      <c r="AF387" s="155">
        <f>SUMIF(Comp!$A$75:$A$400,Areas!A387,Comp!$F$75:$F$400)</f>
        <v>0</v>
      </c>
      <c r="AG387" s="155">
        <f>SUMIF(Comp!$A$75:$A$400,Areas!A387,Comp!$G$75:$G$400)</f>
        <v>0</v>
      </c>
      <c r="AH387" s="155"/>
      <c r="AI387" s="155"/>
      <c r="AK387" s="147"/>
    </row>
    <row r="388" spans="1:37" s="132" customFormat="1">
      <c r="A388" s="142">
        <v>3.306</v>
      </c>
      <c r="B388" s="132" t="str">
        <f>Comp!B314</f>
        <v>OPERATIONS DEPT</v>
      </c>
      <c r="C388" s="143">
        <f>SUM(C389)</f>
        <v>5.4814126671455519</v>
      </c>
      <c r="D388" s="143">
        <f>T388</f>
        <v>3.716211977725798</v>
      </c>
      <c r="E388" s="143">
        <f>U388</f>
        <v>0</v>
      </c>
      <c r="F388" s="143">
        <f>V388</f>
        <v>0</v>
      </c>
      <c r="G388" s="410"/>
      <c r="H388" s="410"/>
      <c r="I388" s="410"/>
      <c r="J388" s="410"/>
      <c r="K388" s="410"/>
      <c r="L388" s="410"/>
      <c r="M388" s="410"/>
      <c r="N388" s="410"/>
      <c r="O388" s="410"/>
      <c r="P388" s="143">
        <f t="shared" si="114"/>
        <v>23.6</v>
      </c>
      <c r="Q388" s="143">
        <f t="shared" si="115"/>
        <v>29.2</v>
      </c>
      <c r="S388" s="154">
        <f>SUMIF('Flt III'!D:D,A388,'Flt III'!E:E)/3.2808^2</f>
        <v>0</v>
      </c>
      <c r="T388" s="154">
        <f>SUMIF('Flt IIa'!A:A,A388,'Flt IIa'!E:E)/3.2808^2</f>
        <v>3.716211977725798</v>
      </c>
      <c r="U388" s="154">
        <f>SUMIF('OPC Des'!A:A,A388,'OPC Des'!F:F)/3.2808^2</f>
        <v>0</v>
      </c>
      <c r="V388" s="154">
        <f>SUMIF('LCS 5'!A:A,A388,'LCS 5'!E:E)</f>
        <v>0</v>
      </c>
      <c r="W388" s="154">
        <f>SUMIF('USCG Summary'!$A$25:$A$50,A388,'USCG Summary'!$D$25:$D$50)/3.2808^2</f>
        <v>0</v>
      </c>
      <c r="X388" s="153">
        <f>SUMIF('USCG Summary'!$A$25:$A$50,A388,'USCG Summary'!$I$25:$I$50)/3.2808^2</f>
        <v>0</v>
      </c>
      <c r="Y388" s="153">
        <f>SUMIF('USCG Summary'!$A$25:$A$50,A388,'USCG Summary'!$L$25:$L$50)/3.2808^2</f>
        <v>0</v>
      </c>
      <c r="Z388" s="153">
        <f>SUMIF('USCG Summary'!$A$25:$A$50,A388,'USCG Summary'!$O$25:$O$50)/3.2808^2</f>
        <v>0</v>
      </c>
      <c r="AA388" s="153">
        <f>SUMIF('USCG Summary'!$A$25:$A$50,A388,'USCG Summary'!$P$25:$P$50)/3.2808^2</f>
        <v>0</v>
      </c>
      <c r="AB388" s="153">
        <f>SUMIF('USCG Summary'!$A$25:$A$50,A388,'USCG Summary'!$Q$25:$Q$50)/3.2808^2</f>
        <v>0</v>
      </c>
      <c r="AC388" s="153">
        <f>SUMIF('USCG Summary'!$A$25:$A$50,A388,'USCG Summary'!$T$25:$T$50)/3.2808^2</f>
        <v>0</v>
      </c>
      <c r="AD388" s="153">
        <f>SUMIF('USCG Summary'!$A$25:$A$50,A388,'USCG Summary'!$W$25:$W$50)/3.2808^2</f>
        <v>0</v>
      </c>
      <c r="AE388" s="153">
        <f>SUMIF('USCG Summary'!$A$25:$A$50,A388,'USCG Summary'!$Z$25:$Z$50)/3.2808^2</f>
        <v>0</v>
      </c>
      <c r="AF388" s="154">
        <f>SUMIF(Comp!$A$75:$A$400,Areas!A388,Comp!$F$75:$F$400)</f>
        <v>23.6</v>
      </c>
      <c r="AG388" s="154">
        <f>SUMIF(Comp!$A$75:$A$400,Areas!A388,Comp!$G$75:$G$400)</f>
        <v>29.2</v>
      </c>
      <c r="AH388" s="154"/>
      <c r="AI388" s="154"/>
      <c r="AK388" s="143"/>
    </row>
    <row r="389" spans="1:37" s="148" customFormat="1">
      <c r="A389" s="146" t="s">
        <v>874</v>
      </c>
      <c r="C389" s="147">
        <f t="shared" ref="C389:F392" si="127">S389</f>
        <v>5.4814126671455519</v>
      </c>
      <c r="D389" s="147">
        <f t="shared" si="127"/>
        <v>0</v>
      </c>
      <c r="E389" s="147">
        <f t="shared" si="127"/>
        <v>0</v>
      </c>
      <c r="F389" s="147">
        <f t="shared" si="127"/>
        <v>0</v>
      </c>
      <c r="G389" s="411"/>
      <c r="H389" s="411"/>
      <c r="I389" s="411"/>
      <c r="J389" s="411"/>
      <c r="K389" s="411"/>
      <c r="L389" s="411"/>
      <c r="M389" s="411"/>
      <c r="N389" s="411"/>
      <c r="O389" s="411"/>
      <c r="P389" s="147">
        <f t="shared" si="114"/>
        <v>0</v>
      </c>
      <c r="Q389" s="147">
        <f t="shared" si="115"/>
        <v>0</v>
      </c>
      <c r="S389" s="155">
        <f>SUMIF('Flt III'!D:D,A389,'Flt III'!E:E)/3.2808^2</f>
        <v>5.4814126671455519</v>
      </c>
      <c r="T389" s="155">
        <f>SUMIF('Flt IIa'!A:A,A389,'Flt IIa'!E:E)/3.2808^2</f>
        <v>0</v>
      </c>
      <c r="U389" s="155">
        <f>SUMIF('OPC Des'!A:A,A389,'OPC Des'!F:F)/3.2808^2</f>
        <v>0</v>
      </c>
      <c r="V389" s="155">
        <f>SUMIF('LCS 5'!A:A,A389,'LCS 5'!E:E)</f>
        <v>0</v>
      </c>
      <c r="W389" s="155">
        <f>SUMIF('USCG Summary'!$A$25:$A$50,A389,'USCG Summary'!$D$25:$D$50)/3.2808^2</f>
        <v>0</v>
      </c>
      <c r="X389" s="153">
        <f>SUMIF('USCG Summary'!$A$25:$A$50,A389,'USCG Summary'!$I$25:$I$50)/3.2808^2</f>
        <v>0</v>
      </c>
      <c r="Y389" s="153">
        <f>SUMIF('USCG Summary'!$A$25:$A$50,A389,'USCG Summary'!$L$25:$L$50)/3.2808^2</f>
        <v>0</v>
      </c>
      <c r="Z389" s="153">
        <f>SUMIF('USCG Summary'!$A$25:$A$50,A389,'USCG Summary'!$O$25:$O$50)/3.2808^2</f>
        <v>0</v>
      </c>
      <c r="AA389" s="153">
        <f>SUMIF('USCG Summary'!$A$25:$A$50,A389,'USCG Summary'!$P$25:$P$50)/3.2808^2</f>
        <v>0</v>
      </c>
      <c r="AB389" s="153">
        <f>SUMIF('USCG Summary'!$A$25:$A$50,A389,'USCG Summary'!$Q$25:$Q$50)/3.2808^2</f>
        <v>0</v>
      </c>
      <c r="AC389" s="153">
        <f>SUMIF('USCG Summary'!$A$25:$A$50,A389,'USCG Summary'!$T$25:$T$50)/3.2808^2</f>
        <v>0</v>
      </c>
      <c r="AD389" s="153">
        <f>SUMIF('USCG Summary'!$A$25:$A$50,A389,'USCG Summary'!$W$25:$W$50)/3.2808^2</f>
        <v>0</v>
      </c>
      <c r="AE389" s="153">
        <f>SUMIF('USCG Summary'!$A$25:$A$50,A389,'USCG Summary'!$Z$25:$Z$50)/3.2808^2</f>
        <v>0</v>
      </c>
      <c r="AF389" s="155">
        <f>SUMIF(Comp!$A$75:$A$400,Areas!A389,Comp!$F$75:$F$400)</f>
        <v>0</v>
      </c>
      <c r="AG389" s="155">
        <f>SUMIF(Comp!$A$75:$A$400,Areas!A389,Comp!$G$75:$G$400)</f>
        <v>0</v>
      </c>
      <c r="AH389" s="155"/>
      <c r="AI389" s="155"/>
      <c r="AK389" s="147"/>
    </row>
    <row r="390" spans="1:37" s="132" customFormat="1">
      <c r="A390" s="142">
        <v>3.3069999999999999</v>
      </c>
      <c r="B390" s="132" t="str">
        <f>Comp!B315</f>
        <v>WEAPONS DEPT</v>
      </c>
      <c r="C390" s="143">
        <f t="shared" si="127"/>
        <v>0</v>
      </c>
      <c r="D390" s="143">
        <f t="shared" si="127"/>
        <v>61.596213530805102</v>
      </c>
      <c r="E390" s="143">
        <f t="shared" si="127"/>
        <v>0</v>
      </c>
      <c r="F390" s="143">
        <f t="shared" si="127"/>
        <v>0</v>
      </c>
      <c r="G390" s="410"/>
      <c r="H390" s="410"/>
      <c r="I390" s="410"/>
      <c r="J390" s="410"/>
      <c r="K390" s="410"/>
      <c r="L390" s="410"/>
      <c r="M390" s="410"/>
      <c r="N390" s="410"/>
      <c r="O390" s="410"/>
      <c r="P390" s="143">
        <f t="shared" si="114"/>
        <v>0</v>
      </c>
      <c r="Q390" s="143">
        <f t="shared" si="115"/>
        <v>0</v>
      </c>
      <c r="S390" s="154">
        <f>SUMIF('Flt III'!D:D,A390,'Flt III'!E:E)/3.2808^2</f>
        <v>0</v>
      </c>
      <c r="T390" s="154">
        <f>SUMIF('Flt IIa'!A:A,A390,'Flt IIa'!E:E)/3.2808^2</f>
        <v>61.596213530805102</v>
      </c>
      <c r="U390" s="154">
        <f>SUMIF('OPC Des'!A:A,A390,'OPC Des'!F:F)/3.2808^2</f>
        <v>0</v>
      </c>
      <c r="V390" s="154">
        <f>SUMIF('LCS 5'!A:A,A390,'LCS 5'!E:E)</f>
        <v>0</v>
      </c>
      <c r="W390" s="154">
        <f>SUMIF('USCG Summary'!$A$25:$A$50,A390,'USCG Summary'!$D$25:$D$50)/3.2808^2</f>
        <v>0</v>
      </c>
      <c r="X390" s="153">
        <f>SUMIF('USCG Summary'!$A$25:$A$50,A390,'USCG Summary'!$I$25:$I$50)/3.2808^2</f>
        <v>0</v>
      </c>
      <c r="Y390" s="153">
        <f>SUMIF('USCG Summary'!$A$25:$A$50,A390,'USCG Summary'!$L$25:$L$50)/3.2808^2</f>
        <v>0</v>
      </c>
      <c r="Z390" s="153">
        <f>SUMIF('USCG Summary'!$A$25:$A$50,A390,'USCG Summary'!$O$25:$O$50)/3.2808^2</f>
        <v>0</v>
      </c>
      <c r="AA390" s="153">
        <f>SUMIF('USCG Summary'!$A$25:$A$50,A390,'USCG Summary'!$P$25:$P$50)/3.2808^2</f>
        <v>0</v>
      </c>
      <c r="AB390" s="153">
        <f>SUMIF('USCG Summary'!$A$25:$A$50,A390,'USCG Summary'!$Q$25:$Q$50)/3.2808^2</f>
        <v>0</v>
      </c>
      <c r="AC390" s="153">
        <f>SUMIF('USCG Summary'!$A$25:$A$50,A390,'USCG Summary'!$T$25:$T$50)/3.2808^2</f>
        <v>0</v>
      </c>
      <c r="AD390" s="153">
        <f>SUMIF('USCG Summary'!$A$25:$A$50,A390,'USCG Summary'!$W$25:$W$50)/3.2808^2</f>
        <v>0</v>
      </c>
      <c r="AE390" s="153">
        <f>SUMIF('USCG Summary'!$A$25:$A$50,A390,'USCG Summary'!$Z$25:$Z$50)/3.2808^2</f>
        <v>0</v>
      </c>
      <c r="AF390" s="154">
        <f>SUMIF(Comp!$A$75:$A$400,Areas!A390,Comp!$F$75:$F$400)</f>
        <v>0</v>
      </c>
      <c r="AG390" s="154">
        <f>SUMIF(Comp!$A$75:$A$400,Areas!A390,Comp!$G$75:$G$400)</f>
        <v>0</v>
      </c>
      <c r="AH390" s="154"/>
      <c r="AI390" s="154"/>
      <c r="AK390" s="143"/>
    </row>
    <row r="391" spans="1:37" s="132" customFormat="1">
      <c r="A391" s="142">
        <v>3.3079999999999998</v>
      </c>
      <c r="B391" s="132" t="str">
        <f>Comp!B316</f>
        <v>REACTOR DEPT</v>
      </c>
      <c r="C391" s="143">
        <f t="shared" si="127"/>
        <v>0</v>
      </c>
      <c r="D391" s="143">
        <f t="shared" si="127"/>
        <v>0</v>
      </c>
      <c r="E391" s="143">
        <f t="shared" si="127"/>
        <v>0</v>
      </c>
      <c r="F391" s="143">
        <f t="shared" si="127"/>
        <v>0</v>
      </c>
      <c r="G391" s="410"/>
      <c r="H391" s="410"/>
      <c r="I391" s="410"/>
      <c r="J391" s="410"/>
      <c r="K391" s="410"/>
      <c r="L391" s="410"/>
      <c r="M391" s="410"/>
      <c r="N391" s="410"/>
      <c r="O391" s="410"/>
      <c r="P391" s="143">
        <f t="shared" si="114"/>
        <v>0</v>
      </c>
      <c r="Q391" s="143">
        <f t="shared" si="115"/>
        <v>0</v>
      </c>
      <c r="S391" s="154">
        <f>SUMIF('Flt III'!D:D,A391,'Flt III'!E:E)/3.2808^2</f>
        <v>0</v>
      </c>
      <c r="T391" s="154">
        <f>SUMIF('Flt IIa'!A:A,A391,'Flt IIa'!E:E)/3.2808^2</f>
        <v>0</v>
      </c>
      <c r="U391" s="154">
        <f>SUMIF('OPC Des'!A:A,A391,'OPC Des'!F:F)/3.2808^2</f>
        <v>0</v>
      </c>
      <c r="V391" s="154">
        <f>SUMIF('LCS 5'!A:A,A391,'LCS 5'!E:E)</f>
        <v>0</v>
      </c>
      <c r="W391" s="154">
        <f>SUMIF('USCG Summary'!$A$25:$A$50,A391,'USCG Summary'!$D$25:$D$50)/3.2808^2</f>
        <v>0</v>
      </c>
      <c r="X391" s="153">
        <f>SUMIF('USCG Summary'!$A$25:$A$50,A391,'USCG Summary'!$I$25:$I$50)/3.2808^2</f>
        <v>0</v>
      </c>
      <c r="Y391" s="153">
        <f>SUMIF('USCG Summary'!$A$25:$A$50,A391,'USCG Summary'!$L$25:$L$50)/3.2808^2</f>
        <v>0</v>
      </c>
      <c r="Z391" s="153">
        <f>SUMIF('USCG Summary'!$A$25:$A$50,A391,'USCG Summary'!$O$25:$O$50)/3.2808^2</f>
        <v>0</v>
      </c>
      <c r="AA391" s="153">
        <f>SUMIF('USCG Summary'!$A$25:$A$50,A391,'USCG Summary'!$P$25:$P$50)/3.2808^2</f>
        <v>0</v>
      </c>
      <c r="AB391" s="153">
        <f>SUMIF('USCG Summary'!$A$25:$A$50,A391,'USCG Summary'!$Q$25:$Q$50)/3.2808^2</f>
        <v>0</v>
      </c>
      <c r="AC391" s="153">
        <f>SUMIF('USCG Summary'!$A$25:$A$50,A391,'USCG Summary'!$T$25:$T$50)/3.2808^2</f>
        <v>0</v>
      </c>
      <c r="AD391" s="153">
        <f>SUMIF('USCG Summary'!$A$25:$A$50,A391,'USCG Summary'!$W$25:$W$50)/3.2808^2</f>
        <v>0</v>
      </c>
      <c r="AE391" s="153">
        <f>SUMIF('USCG Summary'!$A$25:$A$50,A391,'USCG Summary'!$Z$25:$Z$50)/3.2808^2</f>
        <v>0</v>
      </c>
      <c r="AF391" s="154">
        <f>SUMIF(Comp!$A$75:$A$400,Areas!A391,Comp!$F$75:$F$400)</f>
        <v>0</v>
      </c>
      <c r="AG391" s="154">
        <f>SUMIF(Comp!$A$75:$A$400,Areas!A391,Comp!$G$75:$G$400)</f>
        <v>0</v>
      </c>
      <c r="AH391" s="154"/>
      <c r="AI391" s="154"/>
      <c r="AK391" s="143"/>
    </row>
    <row r="392" spans="1:37" s="132" customFormat="1">
      <c r="A392" s="142">
        <v>3.3090000000000002</v>
      </c>
      <c r="B392" s="132" t="str">
        <f>Comp!B317</f>
        <v>MARINES</v>
      </c>
      <c r="C392" s="143">
        <f t="shared" si="127"/>
        <v>0</v>
      </c>
      <c r="D392" s="143">
        <f t="shared" si="127"/>
        <v>0</v>
      </c>
      <c r="E392" s="143">
        <f t="shared" si="127"/>
        <v>0</v>
      </c>
      <c r="F392" s="143">
        <f t="shared" si="127"/>
        <v>0</v>
      </c>
      <c r="G392" s="410"/>
      <c r="H392" s="410"/>
      <c r="I392" s="410"/>
      <c r="J392" s="410"/>
      <c r="K392" s="410"/>
      <c r="L392" s="410"/>
      <c r="M392" s="410"/>
      <c r="N392" s="410"/>
      <c r="O392" s="410"/>
      <c r="P392" s="143">
        <f t="shared" si="114"/>
        <v>0</v>
      </c>
      <c r="Q392" s="143">
        <f t="shared" si="115"/>
        <v>0</v>
      </c>
      <c r="S392" s="154">
        <f>SUMIF('Flt III'!D:D,A392,'Flt III'!E:E)/3.2808^2</f>
        <v>0</v>
      </c>
      <c r="T392" s="154">
        <f>SUMIF('Flt IIa'!A:A,A392,'Flt IIa'!E:E)/3.2808^2</f>
        <v>0</v>
      </c>
      <c r="U392" s="154">
        <f>SUMIF('OPC Des'!A:A,A392,'OPC Des'!F:F)/3.2808^2</f>
        <v>0</v>
      </c>
      <c r="V392" s="154">
        <f>SUMIF('LCS 5'!A:A,A392,'LCS 5'!E:E)</f>
        <v>0</v>
      </c>
      <c r="W392" s="154">
        <f>SUMIF('USCG Summary'!$A$25:$A$50,A392,'USCG Summary'!$D$25:$D$50)/3.2808^2</f>
        <v>0</v>
      </c>
      <c r="X392" s="153">
        <f>SUMIF('USCG Summary'!$A$25:$A$50,A392,'USCG Summary'!$I$25:$I$50)/3.2808^2</f>
        <v>0</v>
      </c>
      <c r="Y392" s="153">
        <f>SUMIF('USCG Summary'!$A$25:$A$50,A392,'USCG Summary'!$L$25:$L$50)/3.2808^2</f>
        <v>0</v>
      </c>
      <c r="Z392" s="153">
        <f>SUMIF('USCG Summary'!$A$25:$A$50,A392,'USCG Summary'!$O$25:$O$50)/3.2808^2</f>
        <v>0</v>
      </c>
      <c r="AA392" s="153">
        <f>SUMIF('USCG Summary'!$A$25:$A$50,A392,'USCG Summary'!$P$25:$P$50)/3.2808^2</f>
        <v>0</v>
      </c>
      <c r="AB392" s="153">
        <f>SUMIF('USCG Summary'!$A$25:$A$50,A392,'USCG Summary'!$Q$25:$Q$50)/3.2808^2</f>
        <v>0</v>
      </c>
      <c r="AC392" s="153">
        <f>SUMIF('USCG Summary'!$A$25:$A$50,A392,'USCG Summary'!$T$25:$T$50)/3.2808^2</f>
        <v>0</v>
      </c>
      <c r="AD392" s="153">
        <f>SUMIF('USCG Summary'!$A$25:$A$50,A392,'USCG Summary'!$W$25:$W$50)/3.2808^2</f>
        <v>0</v>
      </c>
      <c r="AE392" s="153">
        <f>SUMIF('USCG Summary'!$A$25:$A$50,A392,'USCG Summary'!$Z$25:$Z$50)/3.2808^2</f>
        <v>0</v>
      </c>
      <c r="AF392" s="154">
        <f>SUMIF(Comp!$A$75:$A$400,Areas!A392,Comp!$F$75:$F$400)</f>
        <v>0</v>
      </c>
      <c r="AG392" s="154">
        <f>SUMIF(Comp!$A$75:$A$400,Areas!A392,Comp!$G$75:$G$400)</f>
        <v>0</v>
      </c>
      <c r="AH392" s="154"/>
      <c r="AI392" s="154"/>
      <c r="AK392" s="143"/>
    </row>
    <row r="393" spans="1:37" s="134" customFormat="1">
      <c r="A393" s="140">
        <v>3.31</v>
      </c>
      <c r="B393" s="134" t="str">
        <f>Comp!B318</f>
        <v>SHIP PHOTO/PRINT SVCS</v>
      </c>
      <c r="C393" s="149">
        <f>S393</f>
        <v>0</v>
      </c>
      <c r="D393" s="149">
        <f>T393</f>
        <v>0</v>
      </c>
      <c r="E393" s="149">
        <f>U393</f>
        <v>0</v>
      </c>
      <c r="F393" s="149">
        <f>V393</f>
        <v>0</v>
      </c>
      <c r="G393" s="409"/>
      <c r="H393" s="409"/>
      <c r="I393" s="409"/>
      <c r="J393" s="409"/>
      <c r="K393" s="409"/>
      <c r="L393" s="409"/>
      <c r="M393" s="409"/>
      <c r="N393" s="409"/>
      <c r="O393" s="409"/>
      <c r="P393" s="149">
        <f t="shared" si="114"/>
        <v>0</v>
      </c>
      <c r="Q393" s="149">
        <f t="shared" si="115"/>
        <v>0</v>
      </c>
      <c r="S393" s="153">
        <f>SUMIF('Flt III'!D:D,A393,'Flt III'!E:E)/3.2808^2</f>
        <v>0</v>
      </c>
      <c r="T393" s="153">
        <f>SUMIF('Flt IIa'!A:A,A393,'Flt IIa'!E:E)/3.2808^2</f>
        <v>0</v>
      </c>
      <c r="U393" s="153">
        <f>SUMIF('OPC Des'!A:A,A393,'OPC Des'!F:F)/3.2808^2</f>
        <v>0</v>
      </c>
      <c r="V393" s="153">
        <f>SUMIF('LCS 5'!A:A,A393,'LCS 5'!E:E)</f>
        <v>0</v>
      </c>
      <c r="W393" s="153">
        <f>SUMIF('USCG Summary'!$A$25:$A$50,A393,'USCG Summary'!$D$25:$D$50)/3.2808^2</f>
        <v>0</v>
      </c>
      <c r="X393" s="153">
        <f>SUMIF('USCG Summary'!$A$25:$A$50,A393,'USCG Summary'!$I$25:$I$50)/3.2808^2</f>
        <v>0</v>
      </c>
      <c r="Y393" s="153">
        <f>SUMIF('USCG Summary'!$A$25:$A$50,A393,'USCG Summary'!$L$25:$L$50)/3.2808^2</f>
        <v>0</v>
      </c>
      <c r="Z393" s="153">
        <f>SUMIF('USCG Summary'!$A$25:$A$50,A393,'USCG Summary'!$O$25:$O$50)/3.2808^2</f>
        <v>0</v>
      </c>
      <c r="AA393" s="153">
        <f>SUMIF('USCG Summary'!$A$25:$A$50,A393,'USCG Summary'!$P$25:$P$50)/3.2808^2</f>
        <v>0</v>
      </c>
      <c r="AB393" s="153">
        <f>SUMIF('USCG Summary'!$A$25:$A$50,A393,'USCG Summary'!$Q$25:$Q$50)/3.2808^2</f>
        <v>0</v>
      </c>
      <c r="AC393" s="153">
        <f>SUMIF('USCG Summary'!$A$25:$A$50,A393,'USCG Summary'!$T$25:$T$50)/3.2808^2</f>
        <v>0</v>
      </c>
      <c r="AD393" s="153">
        <f>SUMIF('USCG Summary'!$A$25:$A$50,A393,'USCG Summary'!$W$25:$W$50)/3.2808^2</f>
        <v>0</v>
      </c>
      <c r="AE393" s="153">
        <f>SUMIF('USCG Summary'!$A$25:$A$50,A393,'USCG Summary'!$Z$25:$Z$50)/3.2808^2</f>
        <v>0</v>
      </c>
      <c r="AF393" s="153">
        <f>SUMIF(Comp!$A$75:$A$400,Areas!A393,Comp!$F$75:$F$400)</f>
        <v>0</v>
      </c>
      <c r="AG393" s="153">
        <f>SUMIF(Comp!$A$75:$A$400,Areas!A393,Comp!$G$75:$G$400)</f>
        <v>0</v>
      </c>
      <c r="AH393" s="153"/>
      <c r="AI393" s="153"/>
      <c r="AK393" s="133"/>
    </row>
    <row r="394" spans="1:37" s="139" customFormat="1">
      <c r="A394" s="137">
        <v>3.5</v>
      </c>
      <c r="B394" s="139" t="str">
        <f>Comp!B319</f>
        <v>DECK AUXILIARIES</v>
      </c>
      <c r="C394" s="150">
        <f>C395+C399+C400+C402</f>
        <v>43.944206636607554</v>
      </c>
      <c r="D394" s="150">
        <f>D395+D399+D400+D402</f>
        <v>44.501638433266429</v>
      </c>
      <c r="E394" s="150">
        <f>E395+E399+E400+E402</f>
        <v>8.4543822493261906</v>
      </c>
      <c r="F394" s="150">
        <f>F395+F399+F400+F402</f>
        <v>69.42</v>
      </c>
      <c r="G394" s="406">
        <f>W394</f>
        <v>0</v>
      </c>
      <c r="H394" s="406">
        <f t="shared" ref="H394:O394" si="128">X394</f>
        <v>0</v>
      </c>
      <c r="I394" s="406">
        <f t="shared" si="128"/>
        <v>0</v>
      </c>
      <c r="J394" s="406">
        <f t="shared" si="128"/>
        <v>0</v>
      </c>
      <c r="K394" s="406">
        <f t="shared" si="128"/>
        <v>0</v>
      </c>
      <c r="L394" s="406">
        <f t="shared" si="128"/>
        <v>0</v>
      </c>
      <c r="M394" s="406">
        <f t="shared" si="128"/>
        <v>0</v>
      </c>
      <c r="N394" s="406">
        <f t="shared" si="128"/>
        <v>0</v>
      </c>
      <c r="O394" s="406">
        <f t="shared" si="128"/>
        <v>0</v>
      </c>
      <c r="P394" s="138">
        <f t="shared" si="114"/>
        <v>99.5</v>
      </c>
      <c r="Q394" s="138">
        <f t="shared" si="115"/>
        <v>100.2</v>
      </c>
      <c r="S394" s="152">
        <f>SUMIF('Flt III'!D:D,A394,'Flt III'!E:E)/3.2808^2</f>
        <v>0</v>
      </c>
      <c r="T394" s="152">
        <f>SUMIF('Flt IIa'!A:A,A394,'Flt IIa'!E:E)/3.2808^2</f>
        <v>0</v>
      </c>
      <c r="U394" s="152">
        <f>SUMIF('OPC Des'!A:A,A394,'OPC Des'!F:F)/3.2808^2</f>
        <v>0</v>
      </c>
      <c r="V394" s="152">
        <f>SUMIF('LCS 5'!A:A,A394,'LCS 5'!E:E)</f>
        <v>0</v>
      </c>
      <c r="W394" s="152">
        <f>SUMIF('USCG Summary'!$A$25:$A$50,A394,'USCG Summary'!$D$25:$D$50)/3.2808^2</f>
        <v>0</v>
      </c>
      <c r="X394" s="153">
        <f>SUMIF('USCG Summary'!$A$25:$A$50,A394,'USCG Summary'!$I$25:$I$50)/3.2808^2</f>
        <v>0</v>
      </c>
      <c r="Y394" s="153">
        <f>SUMIF('USCG Summary'!$A$25:$A$50,A394,'USCG Summary'!$L$25:$L$50)/3.2808^2</f>
        <v>0</v>
      </c>
      <c r="Z394" s="153">
        <f>SUMIF('USCG Summary'!$A$25:$A$50,A394,'USCG Summary'!$O$25:$O$50)/3.2808^2</f>
        <v>0</v>
      </c>
      <c r="AA394" s="153">
        <f>SUMIF('USCG Summary'!$A$25:$A$50,A394,'USCG Summary'!$P$25:$P$50)/3.2808^2</f>
        <v>0</v>
      </c>
      <c r="AB394" s="153">
        <f>SUMIF('USCG Summary'!$A$25:$A$50,A394,'USCG Summary'!$Q$25:$Q$50)/3.2808^2</f>
        <v>0</v>
      </c>
      <c r="AC394" s="153">
        <f>SUMIF('USCG Summary'!$A$25:$A$50,A394,'USCG Summary'!$T$25:$T$50)/3.2808^2</f>
        <v>0</v>
      </c>
      <c r="AD394" s="153">
        <f>SUMIF('USCG Summary'!$A$25:$A$50,A394,'USCG Summary'!$W$25:$W$50)/3.2808^2</f>
        <v>0</v>
      </c>
      <c r="AE394" s="153">
        <f>SUMIF('USCG Summary'!$A$25:$A$50,A394,'USCG Summary'!$Z$25:$Z$50)/3.2808^2</f>
        <v>0</v>
      </c>
      <c r="AF394" s="152">
        <f>SUMIF(Comp!$A$75:$A$400,Areas!A394,Comp!$F$75:$F$400)</f>
        <v>99.5</v>
      </c>
      <c r="AG394" s="152">
        <f>SUMIF(Comp!$A$75:$A$400,Areas!A394,Comp!$G$75:$G$400)</f>
        <v>100.2</v>
      </c>
      <c r="AH394" s="152"/>
      <c r="AI394" s="152"/>
      <c r="AK394" s="138"/>
    </row>
    <row r="395" spans="1:37" s="134" customFormat="1">
      <c r="A395" s="140">
        <v>3.51</v>
      </c>
      <c r="B395" s="134" t="str">
        <f>Comp!B320</f>
        <v>ANCHOR HANDLING</v>
      </c>
      <c r="C395" s="149">
        <f>SUM(C396:C398)</f>
        <v>37.440835675587408</v>
      </c>
      <c r="D395" s="149">
        <f>T395</f>
        <v>37.440835675587415</v>
      </c>
      <c r="E395" s="149">
        <f>U395</f>
        <v>0</v>
      </c>
      <c r="F395" s="149">
        <f>SUM(F396:F398)</f>
        <v>69.42</v>
      </c>
      <c r="G395" s="409"/>
      <c r="H395" s="409"/>
      <c r="I395" s="409"/>
      <c r="J395" s="409"/>
      <c r="K395" s="409"/>
      <c r="L395" s="409"/>
      <c r="M395" s="409"/>
      <c r="N395" s="409"/>
      <c r="O395" s="409"/>
      <c r="P395" s="149">
        <f t="shared" si="114"/>
        <v>58.4</v>
      </c>
      <c r="Q395" s="149">
        <f t="shared" si="115"/>
        <v>59.2</v>
      </c>
      <c r="S395" s="153">
        <f>SUMIF('Flt III'!D:D,A395,'Flt III'!E:E)/3.2808^2</f>
        <v>0</v>
      </c>
      <c r="T395" s="153">
        <f>SUMIF('Flt IIa'!A:A,A395,'Flt IIa'!E:E)/3.2808^2</f>
        <v>37.440835675587415</v>
      </c>
      <c r="U395" s="153">
        <f>SUMIF('OPC Des'!A:A,A395,'OPC Des'!F:F)/3.2808^2</f>
        <v>0</v>
      </c>
      <c r="V395" s="153">
        <f>SUMIF('LCS 5'!A:A,A395,'LCS 5'!E:E)</f>
        <v>0</v>
      </c>
      <c r="W395" s="153">
        <f>SUMIF('USCG Summary'!$A$25:$A$50,A395,'USCG Summary'!$D$25:$D$50)/3.2808^2</f>
        <v>0</v>
      </c>
      <c r="X395" s="153">
        <f>SUMIF('USCG Summary'!$A$25:$A$50,A395,'USCG Summary'!$I$25:$I$50)/3.2808^2</f>
        <v>0</v>
      </c>
      <c r="Y395" s="153">
        <f>SUMIF('USCG Summary'!$A$25:$A$50,A395,'USCG Summary'!$L$25:$L$50)/3.2808^2</f>
        <v>0</v>
      </c>
      <c r="Z395" s="153">
        <f>SUMIF('USCG Summary'!$A$25:$A$50,A395,'USCG Summary'!$O$25:$O$50)/3.2808^2</f>
        <v>0</v>
      </c>
      <c r="AA395" s="153">
        <f>SUMIF('USCG Summary'!$A$25:$A$50,A395,'USCG Summary'!$P$25:$P$50)/3.2808^2</f>
        <v>0</v>
      </c>
      <c r="AB395" s="153">
        <f>SUMIF('USCG Summary'!$A$25:$A$50,A395,'USCG Summary'!$Q$25:$Q$50)/3.2808^2</f>
        <v>0</v>
      </c>
      <c r="AC395" s="153">
        <f>SUMIF('USCG Summary'!$A$25:$A$50,A395,'USCG Summary'!$T$25:$T$50)/3.2808^2</f>
        <v>0</v>
      </c>
      <c r="AD395" s="153">
        <f>SUMIF('USCG Summary'!$A$25:$A$50,A395,'USCG Summary'!$W$25:$W$50)/3.2808^2</f>
        <v>0</v>
      </c>
      <c r="AE395" s="153">
        <f>SUMIF('USCG Summary'!$A$25:$A$50,A395,'USCG Summary'!$Z$25:$Z$50)/3.2808^2</f>
        <v>0</v>
      </c>
      <c r="AF395" s="153">
        <f>SUMIF(Comp!$A$75:$A$400,Areas!A395,Comp!$F$75:$F$400)</f>
        <v>58.4</v>
      </c>
      <c r="AG395" s="153">
        <f>SUMIF(Comp!$A$75:$A$400,Areas!A395,Comp!$G$75:$G$400)</f>
        <v>59.2</v>
      </c>
      <c r="AH395" s="153"/>
      <c r="AI395" s="153"/>
      <c r="AK395" s="133"/>
    </row>
    <row r="396" spans="1:37" s="148" customFormat="1">
      <c r="A396" s="146" t="s">
        <v>870</v>
      </c>
      <c r="C396" s="147">
        <f t="shared" ref="C396:F398" si="129">S396</f>
        <v>28.893548126818079</v>
      </c>
      <c r="D396" s="147">
        <f t="shared" si="129"/>
        <v>0</v>
      </c>
      <c r="E396" s="147">
        <f t="shared" si="129"/>
        <v>0</v>
      </c>
      <c r="F396" s="147">
        <f t="shared" si="129"/>
        <v>54.5</v>
      </c>
      <c r="G396" s="411"/>
      <c r="H396" s="411"/>
      <c r="I396" s="411"/>
      <c r="J396" s="411"/>
      <c r="K396" s="411"/>
      <c r="L396" s="411"/>
      <c r="M396" s="411"/>
      <c r="N396" s="411"/>
      <c r="O396" s="411"/>
      <c r="P396" s="147">
        <f t="shared" si="114"/>
        <v>0</v>
      </c>
      <c r="Q396" s="147">
        <f t="shared" si="115"/>
        <v>0</v>
      </c>
      <c r="S396" s="155">
        <f>SUMIF('Flt III'!D:D,A396,'Flt III'!E:E)/3.2808^2</f>
        <v>28.893548126818079</v>
      </c>
      <c r="T396" s="155">
        <f>SUMIF('Flt IIa'!A:A,A396,'Flt IIa'!E:E)/3.2808^2</f>
        <v>0</v>
      </c>
      <c r="U396" s="155">
        <f>SUMIF('OPC Des'!A:A,A396,'OPC Des'!F:F)/3.2808^2</f>
        <v>0</v>
      </c>
      <c r="V396" s="155">
        <f>SUMIF('LCS 5'!A:A,A396,'LCS 5'!E:E)</f>
        <v>54.5</v>
      </c>
      <c r="W396" s="155">
        <f>SUMIF('USCG Summary'!$A$25:$A$50,A396,'USCG Summary'!$D$25:$D$50)/3.2808^2</f>
        <v>0</v>
      </c>
      <c r="X396" s="153">
        <f>SUMIF('USCG Summary'!$A$25:$A$50,A396,'USCG Summary'!$I$25:$I$50)/3.2808^2</f>
        <v>0</v>
      </c>
      <c r="Y396" s="153">
        <f>SUMIF('USCG Summary'!$A$25:$A$50,A396,'USCG Summary'!$L$25:$L$50)/3.2808^2</f>
        <v>0</v>
      </c>
      <c r="Z396" s="153">
        <f>SUMIF('USCG Summary'!$A$25:$A$50,A396,'USCG Summary'!$O$25:$O$50)/3.2808^2</f>
        <v>0</v>
      </c>
      <c r="AA396" s="153">
        <f>SUMIF('USCG Summary'!$A$25:$A$50,A396,'USCG Summary'!$P$25:$P$50)/3.2808^2</f>
        <v>0</v>
      </c>
      <c r="AB396" s="153">
        <f>SUMIF('USCG Summary'!$A$25:$A$50,A396,'USCG Summary'!$Q$25:$Q$50)/3.2808^2</f>
        <v>0</v>
      </c>
      <c r="AC396" s="153">
        <f>SUMIF('USCG Summary'!$A$25:$A$50,A396,'USCG Summary'!$T$25:$T$50)/3.2808^2</f>
        <v>0</v>
      </c>
      <c r="AD396" s="153">
        <f>SUMIF('USCG Summary'!$A$25:$A$50,A396,'USCG Summary'!$W$25:$W$50)/3.2808^2</f>
        <v>0</v>
      </c>
      <c r="AE396" s="153">
        <f>SUMIF('USCG Summary'!$A$25:$A$50,A396,'USCG Summary'!$Z$25:$Z$50)/3.2808^2</f>
        <v>0</v>
      </c>
      <c r="AF396" s="155">
        <f>SUMIF(Comp!$A$75:$A$400,Areas!A396,Comp!$F$75:$F$400)</f>
        <v>0</v>
      </c>
      <c r="AG396" s="155">
        <f>SUMIF(Comp!$A$75:$A$400,Areas!A396,Comp!$G$75:$G$400)</f>
        <v>0</v>
      </c>
      <c r="AH396" s="155"/>
      <c r="AI396" s="155"/>
      <c r="AK396" s="147"/>
    </row>
    <row r="397" spans="1:37" s="148" customFormat="1">
      <c r="A397" s="146" t="s">
        <v>866</v>
      </c>
      <c r="C397" s="147">
        <f t="shared" si="129"/>
        <v>6.6891815599064364</v>
      </c>
      <c r="D397" s="147">
        <f t="shared" si="129"/>
        <v>0</v>
      </c>
      <c r="E397" s="147">
        <f t="shared" si="129"/>
        <v>0</v>
      </c>
      <c r="F397" s="147">
        <f t="shared" si="129"/>
        <v>8.23</v>
      </c>
      <c r="G397" s="411"/>
      <c r="H397" s="411"/>
      <c r="I397" s="411"/>
      <c r="J397" s="411"/>
      <c r="K397" s="411"/>
      <c r="L397" s="411"/>
      <c r="M397" s="411"/>
      <c r="N397" s="411"/>
      <c r="O397" s="411"/>
      <c r="P397" s="147">
        <f t="shared" si="114"/>
        <v>0</v>
      </c>
      <c r="Q397" s="147">
        <f t="shared" si="115"/>
        <v>0</v>
      </c>
      <c r="S397" s="155">
        <f>SUMIF('Flt III'!D:D,A397,'Flt III'!E:E)/3.2808^2</f>
        <v>6.6891815599064364</v>
      </c>
      <c r="T397" s="155">
        <f>SUMIF('Flt IIa'!A:A,A397,'Flt IIa'!E:E)/3.2808^2</f>
        <v>0</v>
      </c>
      <c r="U397" s="155">
        <f>SUMIF('OPC Des'!A:A,A397,'OPC Des'!F:F)/3.2808^2</f>
        <v>0</v>
      </c>
      <c r="V397" s="155">
        <f>SUMIF('LCS 5'!A:A,A397,'LCS 5'!E:E)</f>
        <v>8.23</v>
      </c>
      <c r="W397" s="155">
        <f>SUMIF('USCG Summary'!$A$25:$A$50,A397,'USCG Summary'!$D$25:$D$50)/3.2808^2</f>
        <v>0</v>
      </c>
      <c r="X397" s="153">
        <f>SUMIF('USCG Summary'!$A$25:$A$50,A397,'USCG Summary'!$I$25:$I$50)/3.2808^2</f>
        <v>0</v>
      </c>
      <c r="Y397" s="153">
        <f>SUMIF('USCG Summary'!$A$25:$A$50,A397,'USCG Summary'!$L$25:$L$50)/3.2808^2</f>
        <v>0</v>
      </c>
      <c r="Z397" s="153">
        <f>SUMIF('USCG Summary'!$A$25:$A$50,A397,'USCG Summary'!$O$25:$O$50)/3.2808^2</f>
        <v>0</v>
      </c>
      <c r="AA397" s="153">
        <f>SUMIF('USCG Summary'!$A$25:$A$50,A397,'USCG Summary'!$P$25:$P$50)/3.2808^2</f>
        <v>0</v>
      </c>
      <c r="AB397" s="153">
        <f>SUMIF('USCG Summary'!$A$25:$A$50,A397,'USCG Summary'!$Q$25:$Q$50)/3.2808^2</f>
        <v>0</v>
      </c>
      <c r="AC397" s="153">
        <f>SUMIF('USCG Summary'!$A$25:$A$50,A397,'USCG Summary'!$T$25:$T$50)/3.2808^2</f>
        <v>0</v>
      </c>
      <c r="AD397" s="153">
        <f>SUMIF('USCG Summary'!$A$25:$A$50,A397,'USCG Summary'!$W$25:$W$50)/3.2808^2</f>
        <v>0</v>
      </c>
      <c r="AE397" s="153">
        <f>SUMIF('USCG Summary'!$A$25:$A$50,A397,'USCG Summary'!$Z$25:$Z$50)/3.2808^2</f>
        <v>0</v>
      </c>
      <c r="AF397" s="155">
        <f>SUMIF(Comp!$A$75:$A$400,Areas!A397,Comp!$F$75:$F$400)</f>
        <v>0</v>
      </c>
      <c r="AG397" s="155">
        <f>SUMIF(Comp!$A$75:$A$400,Areas!A397,Comp!$G$75:$G$400)</f>
        <v>0</v>
      </c>
      <c r="AH397" s="155"/>
      <c r="AI397" s="155"/>
      <c r="AK397" s="147"/>
    </row>
    <row r="398" spans="1:37" s="148" customFormat="1">
      <c r="A398" s="146" t="s">
        <v>863</v>
      </c>
      <c r="C398" s="147">
        <f t="shared" si="129"/>
        <v>1.858105988862899</v>
      </c>
      <c r="D398" s="147">
        <f t="shared" si="129"/>
        <v>0</v>
      </c>
      <c r="E398" s="147">
        <f t="shared" si="129"/>
        <v>0</v>
      </c>
      <c r="F398" s="147">
        <f t="shared" si="129"/>
        <v>6.69</v>
      </c>
      <c r="G398" s="411"/>
      <c r="H398" s="411"/>
      <c r="I398" s="411"/>
      <c r="J398" s="411"/>
      <c r="K398" s="411"/>
      <c r="L398" s="411"/>
      <c r="M398" s="411"/>
      <c r="N398" s="411"/>
      <c r="O398" s="411"/>
      <c r="P398" s="147">
        <f t="shared" si="114"/>
        <v>0</v>
      </c>
      <c r="Q398" s="147">
        <f t="shared" si="115"/>
        <v>0</v>
      </c>
      <c r="S398" s="155">
        <f>SUMIF('Flt III'!D:D,A398,'Flt III'!E:E)/3.2808^2</f>
        <v>1.858105988862899</v>
      </c>
      <c r="T398" s="155">
        <f>SUMIF('Flt IIa'!A:A,A398,'Flt IIa'!E:E)/3.2808^2</f>
        <v>0</v>
      </c>
      <c r="U398" s="155">
        <f>SUMIF('OPC Des'!A:A,A398,'OPC Des'!F:F)/3.2808^2</f>
        <v>0</v>
      </c>
      <c r="V398" s="155">
        <f>SUMIF('LCS 5'!A:A,A398,'LCS 5'!E:E)</f>
        <v>6.69</v>
      </c>
      <c r="W398" s="155">
        <f>SUMIF('USCG Summary'!$A$25:$A$50,A398,'USCG Summary'!$D$25:$D$50)/3.2808^2</f>
        <v>0</v>
      </c>
      <c r="X398" s="153">
        <f>SUMIF('USCG Summary'!$A$25:$A$50,A398,'USCG Summary'!$I$25:$I$50)/3.2808^2</f>
        <v>0</v>
      </c>
      <c r="Y398" s="153">
        <f>SUMIF('USCG Summary'!$A$25:$A$50,A398,'USCG Summary'!$L$25:$L$50)/3.2808^2</f>
        <v>0</v>
      </c>
      <c r="Z398" s="153">
        <f>SUMIF('USCG Summary'!$A$25:$A$50,A398,'USCG Summary'!$O$25:$O$50)/3.2808^2</f>
        <v>0</v>
      </c>
      <c r="AA398" s="153">
        <f>SUMIF('USCG Summary'!$A$25:$A$50,A398,'USCG Summary'!$P$25:$P$50)/3.2808^2</f>
        <v>0</v>
      </c>
      <c r="AB398" s="153">
        <f>SUMIF('USCG Summary'!$A$25:$A$50,A398,'USCG Summary'!$Q$25:$Q$50)/3.2808^2</f>
        <v>0</v>
      </c>
      <c r="AC398" s="153">
        <f>SUMIF('USCG Summary'!$A$25:$A$50,A398,'USCG Summary'!$T$25:$T$50)/3.2808^2</f>
        <v>0</v>
      </c>
      <c r="AD398" s="153">
        <f>SUMIF('USCG Summary'!$A$25:$A$50,A398,'USCG Summary'!$W$25:$W$50)/3.2808^2</f>
        <v>0</v>
      </c>
      <c r="AE398" s="153">
        <f>SUMIF('USCG Summary'!$A$25:$A$50,A398,'USCG Summary'!$Z$25:$Z$50)/3.2808^2</f>
        <v>0</v>
      </c>
      <c r="AF398" s="155">
        <f>SUMIF(Comp!$A$75:$A$400,Areas!A398,Comp!$F$75:$F$400)</f>
        <v>0</v>
      </c>
      <c r="AG398" s="155">
        <f>SUMIF(Comp!$A$75:$A$400,Areas!A398,Comp!$G$75:$G$400)</f>
        <v>0</v>
      </c>
      <c r="AH398" s="155"/>
      <c r="AI398" s="155"/>
      <c r="AK398" s="147"/>
    </row>
    <row r="399" spans="1:37" s="134" customFormat="1">
      <c r="A399" s="140">
        <v>3.52</v>
      </c>
      <c r="B399" s="134" t="str">
        <f>Comp!B321</f>
        <v>LINE HANDLING</v>
      </c>
      <c r="C399" s="149">
        <f>S399</f>
        <v>0</v>
      </c>
      <c r="D399" s="149">
        <f>T399</f>
        <v>0</v>
      </c>
      <c r="E399" s="149">
        <f>U399</f>
        <v>0</v>
      </c>
      <c r="F399" s="149">
        <f>V399</f>
        <v>0</v>
      </c>
      <c r="G399" s="409"/>
      <c r="H399" s="409"/>
      <c r="I399" s="409"/>
      <c r="J399" s="409"/>
      <c r="K399" s="409"/>
      <c r="L399" s="409"/>
      <c r="M399" s="409"/>
      <c r="N399" s="409"/>
      <c r="O399" s="409"/>
      <c r="P399" s="149">
        <f t="shared" si="114"/>
        <v>0</v>
      </c>
      <c r="Q399" s="149">
        <f t="shared" si="115"/>
        <v>0</v>
      </c>
      <c r="S399" s="153">
        <f>SUMIF('Flt III'!D:D,A399,'Flt III'!E:E)/3.2808^2</f>
        <v>0</v>
      </c>
      <c r="T399" s="153">
        <f>SUMIF('Flt IIa'!A:A,A399,'Flt IIa'!E:E)/3.2808^2</f>
        <v>0</v>
      </c>
      <c r="U399" s="153">
        <f>SUMIF('OPC Des'!A:A,A399,'OPC Des'!F:F)/3.2808^2</f>
        <v>0</v>
      </c>
      <c r="V399" s="153">
        <f>SUMIF('LCS 5'!A:A,A399,'LCS 5'!E:E)</f>
        <v>0</v>
      </c>
      <c r="W399" s="153">
        <f>SUMIF('USCG Summary'!$A$25:$A$50,A399,'USCG Summary'!$D$25:$D$50)/3.2808^2</f>
        <v>0</v>
      </c>
      <c r="X399" s="153">
        <f>SUMIF('USCG Summary'!$A$25:$A$50,A399,'USCG Summary'!$I$25:$I$50)/3.2808^2</f>
        <v>0</v>
      </c>
      <c r="Y399" s="153">
        <f>SUMIF('USCG Summary'!$A$25:$A$50,A399,'USCG Summary'!$L$25:$L$50)/3.2808^2</f>
        <v>0</v>
      </c>
      <c r="Z399" s="153">
        <f>SUMIF('USCG Summary'!$A$25:$A$50,A399,'USCG Summary'!$O$25:$O$50)/3.2808^2</f>
        <v>0</v>
      </c>
      <c r="AA399" s="153">
        <f>SUMIF('USCG Summary'!$A$25:$A$50,A399,'USCG Summary'!$P$25:$P$50)/3.2808^2</f>
        <v>0</v>
      </c>
      <c r="AB399" s="153">
        <f>SUMIF('USCG Summary'!$A$25:$A$50,A399,'USCG Summary'!$Q$25:$Q$50)/3.2808^2</f>
        <v>0</v>
      </c>
      <c r="AC399" s="153">
        <f>SUMIF('USCG Summary'!$A$25:$A$50,A399,'USCG Summary'!$T$25:$T$50)/3.2808^2</f>
        <v>0</v>
      </c>
      <c r="AD399" s="153">
        <f>SUMIF('USCG Summary'!$A$25:$A$50,A399,'USCG Summary'!$W$25:$W$50)/3.2808^2</f>
        <v>0</v>
      </c>
      <c r="AE399" s="153">
        <f>SUMIF('USCG Summary'!$A$25:$A$50,A399,'USCG Summary'!$Z$25:$Z$50)/3.2808^2</f>
        <v>0</v>
      </c>
      <c r="AF399" s="153">
        <f>SUMIF(Comp!$A$75:$A$400,Areas!A399,Comp!$F$75:$F$400)</f>
        <v>0</v>
      </c>
      <c r="AG399" s="153">
        <f>SUMIF(Comp!$A$75:$A$400,Areas!A399,Comp!$G$75:$G$400)</f>
        <v>0</v>
      </c>
      <c r="AH399" s="153"/>
      <c r="AI399" s="153"/>
      <c r="AK399" s="133"/>
    </row>
    <row r="400" spans="1:37" s="134" customFormat="1">
      <c r="A400" s="140">
        <v>3.53</v>
      </c>
      <c r="B400" s="134" t="str">
        <f>Comp!B322</f>
        <v>TRANSFER-AT-SEA</v>
      </c>
      <c r="C400" s="149">
        <f>SUM(C401)</f>
        <v>6.5033709610201464</v>
      </c>
      <c r="D400" s="149">
        <f>T400</f>
        <v>7.0608027576790162</v>
      </c>
      <c r="E400" s="149">
        <f>SUM(E401)</f>
        <v>8.4543822493261906</v>
      </c>
      <c r="F400" s="149">
        <f>SUM(F401)</f>
        <v>0</v>
      </c>
      <c r="G400" s="409"/>
      <c r="H400" s="409"/>
      <c r="I400" s="409"/>
      <c r="J400" s="409"/>
      <c r="K400" s="409"/>
      <c r="L400" s="409"/>
      <c r="M400" s="409"/>
      <c r="N400" s="409"/>
      <c r="O400" s="409"/>
      <c r="P400" s="149">
        <f t="shared" si="114"/>
        <v>41.1</v>
      </c>
      <c r="Q400" s="149">
        <f t="shared" si="115"/>
        <v>41.1</v>
      </c>
      <c r="S400" s="153">
        <f>SUMIF('Flt III'!D:D,A400,'Flt III'!E:E)/3.2808^2</f>
        <v>0</v>
      </c>
      <c r="T400" s="153">
        <f>SUMIF('Flt IIa'!A:A,A400,'Flt IIa'!E:E)/3.2808^2</f>
        <v>7.0608027576790162</v>
      </c>
      <c r="U400" s="153">
        <f>SUMIF('OPC Des'!A:A,A400,'OPC Des'!F:F)/3.2808^2</f>
        <v>0</v>
      </c>
      <c r="V400" s="153">
        <f>SUMIF('LCS 5'!A:A,A400,'LCS 5'!E:E)</f>
        <v>0</v>
      </c>
      <c r="W400" s="153">
        <f>SUMIF('USCG Summary'!$A$25:$A$50,A400,'USCG Summary'!$D$25:$D$50)/3.2808^2</f>
        <v>0</v>
      </c>
      <c r="X400" s="153">
        <f>SUMIF('USCG Summary'!$A$25:$A$50,A400,'USCG Summary'!$I$25:$I$50)/3.2808^2</f>
        <v>0</v>
      </c>
      <c r="Y400" s="153">
        <f>SUMIF('USCG Summary'!$A$25:$A$50,A400,'USCG Summary'!$L$25:$L$50)/3.2808^2</f>
        <v>0</v>
      </c>
      <c r="Z400" s="153">
        <f>SUMIF('USCG Summary'!$A$25:$A$50,A400,'USCG Summary'!$O$25:$O$50)/3.2808^2</f>
        <v>0</v>
      </c>
      <c r="AA400" s="153">
        <f>SUMIF('USCG Summary'!$A$25:$A$50,A400,'USCG Summary'!$P$25:$P$50)/3.2808^2</f>
        <v>0</v>
      </c>
      <c r="AB400" s="153">
        <f>SUMIF('USCG Summary'!$A$25:$A$50,A400,'USCG Summary'!$Q$25:$Q$50)/3.2808^2</f>
        <v>0</v>
      </c>
      <c r="AC400" s="153">
        <f>SUMIF('USCG Summary'!$A$25:$A$50,A400,'USCG Summary'!$T$25:$T$50)/3.2808^2</f>
        <v>0</v>
      </c>
      <c r="AD400" s="153">
        <f>SUMIF('USCG Summary'!$A$25:$A$50,A400,'USCG Summary'!$W$25:$W$50)/3.2808^2</f>
        <v>0</v>
      </c>
      <c r="AE400" s="153">
        <f>SUMIF('USCG Summary'!$A$25:$A$50,A400,'USCG Summary'!$Z$25:$Z$50)/3.2808^2</f>
        <v>0</v>
      </c>
      <c r="AF400" s="153">
        <f>SUMIF(Comp!$A$75:$A$400,Areas!A400,Comp!$F$75:$F$400)</f>
        <v>41.1</v>
      </c>
      <c r="AG400" s="153">
        <f>SUMIF(Comp!$A$75:$A$400,Areas!A400,Comp!$G$75:$G$400)</f>
        <v>41.1</v>
      </c>
      <c r="AH400" s="153"/>
      <c r="AI400" s="153"/>
      <c r="AK400" s="133"/>
    </row>
    <row r="401" spans="1:37" s="148" customFormat="1">
      <c r="A401" s="146" t="s">
        <v>860</v>
      </c>
      <c r="C401" s="147">
        <f>S401</f>
        <v>6.5033709610201464</v>
      </c>
      <c r="D401" s="147">
        <f>T401</f>
        <v>0</v>
      </c>
      <c r="E401" s="147">
        <f>U401</f>
        <v>8.4543822493261906</v>
      </c>
      <c r="F401" s="147">
        <f>V401</f>
        <v>0</v>
      </c>
      <c r="G401" s="411"/>
      <c r="H401" s="411"/>
      <c r="I401" s="411"/>
      <c r="J401" s="411"/>
      <c r="K401" s="411"/>
      <c r="L401" s="411"/>
      <c r="M401" s="411"/>
      <c r="N401" s="411"/>
      <c r="O401" s="411"/>
      <c r="P401" s="147">
        <f t="shared" si="114"/>
        <v>0</v>
      </c>
      <c r="Q401" s="147">
        <f t="shared" si="115"/>
        <v>0</v>
      </c>
      <c r="S401" s="155">
        <f>SUMIF('Flt III'!D:D,A401,'Flt III'!E:E)/3.2808^2</f>
        <v>6.5033709610201464</v>
      </c>
      <c r="T401" s="155">
        <f>SUMIF('Flt IIa'!A:A,A401,'Flt IIa'!E:E)/3.2808^2</f>
        <v>0</v>
      </c>
      <c r="U401" s="155">
        <f>SUMIF('OPC Des'!A:A,A401,'OPC Des'!F:F)/3.2808^2</f>
        <v>8.4543822493261906</v>
      </c>
      <c r="V401" s="155">
        <f>SUMIF('LCS 5'!A:A,A401,'LCS 5'!E:E)</f>
        <v>0</v>
      </c>
      <c r="W401" s="155">
        <f>SUMIF('USCG Summary'!$A$25:$A$50,A401,'USCG Summary'!$D$25:$D$50)/3.2808^2</f>
        <v>0</v>
      </c>
      <c r="X401" s="153">
        <f>SUMIF('USCG Summary'!$A$25:$A$50,A401,'USCG Summary'!$I$25:$I$50)/3.2808^2</f>
        <v>0</v>
      </c>
      <c r="Y401" s="153">
        <f>SUMIF('USCG Summary'!$A$25:$A$50,A401,'USCG Summary'!$L$25:$L$50)/3.2808^2</f>
        <v>0</v>
      </c>
      <c r="Z401" s="153">
        <f>SUMIF('USCG Summary'!$A$25:$A$50,A401,'USCG Summary'!$O$25:$O$50)/3.2808^2</f>
        <v>0</v>
      </c>
      <c r="AA401" s="153">
        <f>SUMIF('USCG Summary'!$A$25:$A$50,A401,'USCG Summary'!$P$25:$P$50)/3.2808^2</f>
        <v>0</v>
      </c>
      <c r="AB401" s="153">
        <f>SUMIF('USCG Summary'!$A$25:$A$50,A401,'USCG Summary'!$Q$25:$Q$50)/3.2808^2</f>
        <v>0</v>
      </c>
      <c r="AC401" s="153">
        <f>SUMIF('USCG Summary'!$A$25:$A$50,A401,'USCG Summary'!$T$25:$T$50)/3.2808^2</f>
        <v>0</v>
      </c>
      <c r="AD401" s="153">
        <f>SUMIF('USCG Summary'!$A$25:$A$50,A401,'USCG Summary'!$W$25:$W$50)/3.2808^2</f>
        <v>0</v>
      </c>
      <c r="AE401" s="153">
        <f>SUMIF('USCG Summary'!$A$25:$A$50,A401,'USCG Summary'!$Z$25:$Z$50)/3.2808^2</f>
        <v>0</v>
      </c>
      <c r="AF401" s="155">
        <f>SUMIF(Comp!$A$75:$A$400,Areas!A401,Comp!$F$75:$F$400)</f>
        <v>0</v>
      </c>
      <c r="AG401" s="155">
        <f>SUMIF(Comp!$A$75:$A$400,Areas!A401,Comp!$G$75:$G$400)</f>
        <v>0</v>
      </c>
      <c r="AH401" s="155"/>
      <c r="AI401" s="155"/>
      <c r="AK401" s="147"/>
    </row>
    <row r="402" spans="1:37" s="134" customFormat="1">
      <c r="A402" s="140">
        <v>3.54</v>
      </c>
      <c r="B402" s="134" t="str">
        <f>Comp!B323</f>
        <v>SHIP BOATS STOWAGE</v>
      </c>
      <c r="C402" s="149">
        <f>S402</f>
        <v>0</v>
      </c>
      <c r="D402" s="149">
        <f>T402</f>
        <v>0</v>
      </c>
      <c r="E402" s="149">
        <f>U402</f>
        <v>0</v>
      </c>
      <c r="F402" s="149">
        <f>V402</f>
        <v>0</v>
      </c>
      <c r="G402" s="409"/>
      <c r="H402" s="409"/>
      <c r="I402" s="409"/>
      <c r="J402" s="409"/>
      <c r="K402" s="409"/>
      <c r="L402" s="409"/>
      <c r="M402" s="409"/>
      <c r="N402" s="409"/>
      <c r="O402" s="409"/>
      <c r="P402" s="149">
        <f t="shared" si="114"/>
        <v>0</v>
      </c>
      <c r="Q402" s="149">
        <f t="shared" si="115"/>
        <v>0</v>
      </c>
      <c r="S402" s="153">
        <f>SUMIF('Flt III'!D:D,A402,'Flt III'!E:E)/3.2808^2</f>
        <v>0</v>
      </c>
      <c r="T402" s="153">
        <f>SUMIF('Flt IIa'!A:A,A402,'Flt IIa'!E:E)/3.2808^2</f>
        <v>0</v>
      </c>
      <c r="U402" s="153">
        <f>SUMIF('OPC Des'!A:A,A402,'OPC Des'!F:F)/3.2808^2</f>
        <v>0</v>
      </c>
      <c r="V402" s="153">
        <f>SUMIF('LCS 5'!A:A,A402,'LCS 5'!E:E)</f>
        <v>0</v>
      </c>
      <c r="W402" s="153">
        <f>SUMIF('USCG Summary'!$A$25:$A$50,A402,'USCG Summary'!$D$25:$D$50)/3.2808^2</f>
        <v>0</v>
      </c>
      <c r="X402" s="153">
        <f>SUMIF('USCG Summary'!$A$25:$A$50,A402,'USCG Summary'!$I$25:$I$50)/3.2808^2</f>
        <v>0</v>
      </c>
      <c r="Y402" s="153">
        <f>SUMIF('USCG Summary'!$A$25:$A$50,A402,'USCG Summary'!$L$25:$L$50)/3.2808^2</f>
        <v>0</v>
      </c>
      <c r="Z402" s="153">
        <f>SUMIF('USCG Summary'!$A$25:$A$50,A402,'USCG Summary'!$O$25:$O$50)/3.2808^2</f>
        <v>0</v>
      </c>
      <c r="AA402" s="153">
        <f>SUMIF('USCG Summary'!$A$25:$A$50,A402,'USCG Summary'!$P$25:$P$50)/3.2808^2</f>
        <v>0</v>
      </c>
      <c r="AB402" s="153">
        <f>SUMIF('USCG Summary'!$A$25:$A$50,A402,'USCG Summary'!$Q$25:$Q$50)/3.2808^2</f>
        <v>0</v>
      </c>
      <c r="AC402" s="153">
        <f>SUMIF('USCG Summary'!$A$25:$A$50,A402,'USCG Summary'!$T$25:$T$50)/3.2808^2</f>
        <v>0</v>
      </c>
      <c r="AD402" s="153">
        <f>SUMIF('USCG Summary'!$A$25:$A$50,A402,'USCG Summary'!$W$25:$W$50)/3.2808^2</f>
        <v>0</v>
      </c>
      <c r="AE402" s="153">
        <f>SUMIF('USCG Summary'!$A$25:$A$50,A402,'USCG Summary'!$Z$25:$Z$50)/3.2808^2</f>
        <v>0</v>
      </c>
      <c r="AF402" s="153">
        <f>SUMIF(Comp!$A$75:$A$400,Areas!A402,Comp!$F$75:$F$400)</f>
        <v>0</v>
      </c>
      <c r="AG402" s="153">
        <f>SUMIF(Comp!$A$75:$A$400,Areas!A402,Comp!$G$75:$G$400)</f>
        <v>0</v>
      </c>
      <c r="AH402" s="153"/>
      <c r="AI402" s="153"/>
      <c r="AK402" s="133"/>
    </row>
    <row r="403" spans="1:37" s="139" customFormat="1">
      <c r="A403" s="137">
        <v>3.6</v>
      </c>
      <c r="B403" s="139" t="str">
        <f>Comp!B324</f>
        <v>SHIP MAINTENANCE</v>
      </c>
      <c r="C403" s="150">
        <f>C404+C414+C415+C416</f>
        <v>109.16372684569531</v>
      </c>
      <c r="D403" s="150">
        <f>D404+D414+D415+D416</f>
        <v>129.23127152541463</v>
      </c>
      <c r="E403" s="150">
        <f>E404+E414+E415+E416</f>
        <v>0</v>
      </c>
      <c r="F403" s="150">
        <f>F404+F414+F415+F416</f>
        <v>0</v>
      </c>
      <c r="G403" s="406">
        <f>W403</f>
        <v>0</v>
      </c>
      <c r="H403" s="406">
        <f t="shared" ref="H403:O403" si="130">X403</f>
        <v>0</v>
      </c>
      <c r="I403" s="406">
        <f t="shared" si="130"/>
        <v>0</v>
      </c>
      <c r="J403" s="406">
        <f t="shared" si="130"/>
        <v>0</v>
      </c>
      <c r="K403" s="406">
        <f t="shared" si="130"/>
        <v>0</v>
      </c>
      <c r="L403" s="406">
        <f t="shared" si="130"/>
        <v>0</v>
      </c>
      <c r="M403" s="406">
        <f t="shared" si="130"/>
        <v>25.827673245194294</v>
      </c>
      <c r="N403" s="406">
        <f t="shared" si="130"/>
        <v>51.283725292616012</v>
      </c>
      <c r="O403" s="406">
        <f t="shared" si="130"/>
        <v>85.287064888807066</v>
      </c>
      <c r="P403" s="138">
        <f t="shared" si="114"/>
        <v>219.1</v>
      </c>
      <c r="Q403" s="138">
        <f t="shared" si="115"/>
        <v>230.8</v>
      </c>
      <c r="S403" s="152">
        <f>SUMIF('Flt III'!D:D,A403,'Flt III'!E:E)/3.2808^2</f>
        <v>0</v>
      </c>
      <c r="T403" s="152">
        <f>SUMIF('Flt IIa'!A:A,A403,'Flt IIa'!E:E)/3.2808^2</f>
        <v>0</v>
      </c>
      <c r="U403" s="152">
        <f>SUMIF('OPC Des'!A:A,A403,'OPC Des'!F:F)/3.2808^2</f>
        <v>0</v>
      </c>
      <c r="V403" s="152">
        <f>SUMIF('LCS 5'!A:A,A403,'LCS 5'!E:E)</f>
        <v>0</v>
      </c>
      <c r="W403" s="152">
        <f>SUMIF('USCG Summary'!$A$25:$A$50,A403,'USCG Summary'!$D$25:$D$50)/3.2808^2</f>
        <v>0</v>
      </c>
      <c r="X403" s="153">
        <f>SUMIF('USCG Summary'!$A$25:$A$50,A403,'USCG Summary'!$I$25:$I$50)/3.2808^2</f>
        <v>0</v>
      </c>
      <c r="Y403" s="153">
        <f>SUMIF('USCG Summary'!$A$25:$A$50,A403,'USCG Summary'!$L$25:$L$50)/3.2808^2</f>
        <v>0</v>
      </c>
      <c r="Z403" s="153">
        <f>SUMIF('USCG Summary'!$A$25:$A$50,A403,'USCG Summary'!$O$25:$O$50)/3.2808^2</f>
        <v>0</v>
      </c>
      <c r="AA403" s="153">
        <f>SUMIF('USCG Summary'!$A$25:$A$50,A403,'USCG Summary'!$P$25:$P$50)/3.2808^2</f>
        <v>0</v>
      </c>
      <c r="AB403" s="153">
        <f>SUMIF('USCG Summary'!$A$25:$A$50,A403,'USCG Summary'!$Q$25:$Q$50)/3.2808^2</f>
        <v>0</v>
      </c>
      <c r="AC403" s="153">
        <f>SUMIF('USCG Summary'!$A$25:$A$50,A403,'USCG Summary'!$T$25:$T$50)/3.2808^2</f>
        <v>25.827673245194294</v>
      </c>
      <c r="AD403" s="153">
        <f>SUMIF('USCG Summary'!$A$25:$A$50,A403,'USCG Summary'!$W$25:$W$50)/3.2808^2</f>
        <v>51.283725292616012</v>
      </c>
      <c r="AE403" s="153">
        <f>SUMIF('USCG Summary'!$A$25:$A$50,A403,'USCG Summary'!$Z$25:$Z$50)/3.2808^2</f>
        <v>85.287064888807066</v>
      </c>
      <c r="AF403" s="152">
        <f>SUMIF(Comp!$A$75:$A$400,Areas!A403,Comp!$F$75:$F$400)</f>
        <v>219.1</v>
      </c>
      <c r="AG403" s="152">
        <f>SUMIF(Comp!$A$75:$A$400,Areas!A403,Comp!$G$75:$G$400)</f>
        <v>230.8</v>
      </c>
      <c r="AH403" s="152"/>
      <c r="AI403" s="152"/>
      <c r="AK403" s="138"/>
    </row>
    <row r="404" spans="1:37" s="134" customFormat="1">
      <c r="A404" s="140">
        <v>3.61</v>
      </c>
      <c r="B404" s="134" t="str">
        <f>Comp!B325</f>
        <v>ENGINEERING DEPT</v>
      </c>
      <c r="C404" s="149">
        <f>C405+C407+C410+C412</f>
        <v>109.16372684569531</v>
      </c>
      <c r="D404" s="149">
        <f>D405+D407+D410+D412</f>
        <v>100.70934459636914</v>
      </c>
      <c r="E404" s="149">
        <f>E405+E407+E410+E412</f>
        <v>0</v>
      </c>
      <c r="F404" s="149">
        <f>F405+F407+F410+F412</f>
        <v>0</v>
      </c>
      <c r="G404" s="409"/>
      <c r="H404" s="409"/>
      <c r="I404" s="409"/>
      <c r="J404" s="409"/>
      <c r="K404" s="409"/>
      <c r="L404" s="409"/>
      <c r="M404" s="409"/>
      <c r="N404" s="409"/>
      <c r="O404" s="409"/>
      <c r="P404" s="149">
        <f t="shared" si="114"/>
        <v>158</v>
      </c>
      <c r="Q404" s="149">
        <f t="shared" si="115"/>
        <v>158</v>
      </c>
      <c r="S404" s="153">
        <f>SUMIF('Flt III'!D:D,A404,'Flt III'!E:E)/3.2808^2</f>
        <v>0</v>
      </c>
      <c r="T404" s="153">
        <f>SUMIF('Flt IIa'!A:A,A404,'Flt IIa'!E:E)/3.2808^2</f>
        <v>0</v>
      </c>
      <c r="U404" s="153">
        <f>SUMIF('OPC Des'!A:A,A404,'OPC Des'!F:F)/3.2808^2</f>
        <v>0</v>
      </c>
      <c r="V404" s="153">
        <f>SUMIF('LCS 5'!A:A,A404,'LCS 5'!E:E)</f>
        <v>0</v>
      </c>
      <c r="W404" s="153">
        <f>SUMIF('USCG Summary'!$A$25:$A$50,A404,'USCG Summary'!$D$25:$D$50)/3.2808^2</f>
        <v>0</v>
      </c>
      <c r="X404" s="153">
        <f>SUMIF('USCG Summary'!$A$25:$A$50,A404,'USCG Summary'!$I$25:$I$50)/3.2808^2</f>
        <v>0</v>
      </c>
      <c r="Y404" s="153">
        <f>SUMIF('USCG Summary'!$A$25:$A$50,A404,'USCG Summary'!$L$25:$L$50)/3.2808^2</f>
        <v>0</v>
      </c>
      <c r="Z404" s="153">
        <f>SUMIF('USCG Summary'!$A$25:$A$50,A404,'USCG Summary'!$O$25:$O$50)/3.2808^2</f>
        <v>0</v>
      </c>
      <c r="AA404" s="153">
        <f>SUMIF('USCG Summary'!$A$25:$A$50,A404,'USCG Summary'!$P$25:$P$50)/3.2808^2</f>
        <v>0</v>
      </c>
      <c r="AB404" s="153">
        <f>SUMIF('USCG Summary'!$A$25:$A$50,A404,'USCG Summary'!$Q$25:$Q$50)/3.2808^2</f>
        <v>0</v>
      </c>
      <c r="AC404" s="153">
        <f>SUMIF('USCG Summary'!$A$25:$A$50,A404,'USCG Summary'!$T$25:$T$50)/3.2808^2</f>
        <v>0</v>
      </c>
      <c r="AD404" s="153">
        <f>SUMIF('USCG Summary'!$A$25:$A$50,A404,'USCG Summary'!$W$25:$W$50)/3.2808^2</f>
        <v>0</v>
      </c>
      <c r="AE404" s="153">
        <f>SUMIF('USCG Summary'!$A$25:$A$50,A404,'USCG Summary'!$Z$25:$Z$50)/3.2808^2</f>
        <v>0</v>
      </c>
      <c r="AF404" s="153">
        <f>SUMIF(Comp!$A$75:$A$400,Areas!A404,Comp!$F$75:$F$400)</f>
        <v>158</v>
      </c>
      <c r="AG404" s="153">
        <f>SUMIF(Comp!$A$75:$A$400,Areas!A404,Comp!$G$75:$G$400)</f>
        <v>158</v>
      </c>
      <c r="AH404" s="153"/>
      <c r="AI404" s="153"/>
      <c r="AK404" s="133"/>
    </row>
    <row r="405" spans="1:37" s="132" customFormat="1">
      <c r="A405" s="142">
        <v>3.6110000000000002</v>
      </c>
      <c r="B405" s="132" t="str">
        <f>Comp!B326</f>
        <v>AUX (FILTER CLEANING)</v>
      </c>
      <c r="C405" s="143">
        <f>SUM(C406)</f>
        <v>17.094575097538669</v>
      </c>
      <c r="D405" s="143">
        <f>T405</f>
        <v>17.094575097538669</v>
      </c>
      <c r="E405" s="143">
        <f>U405</f>
        <v>0</v>
      </c>
      <c r="F405" s="143">
        <f>V405</f>
        <v>0</v>
      </c>
      <c r="G405" s="410"/>
      <c r="H405" s="410"/>
      <c r="I405" s="410"/>
      <c r="J405" s="410"/>
      <c r="K405" s="410"/>
      <c r="L405" s="410"/>
      <c r="M405" s="410"/>
      <c r="N405" s="410"/>
      <c r="O405" s="410"/>
      <c r="P405" s="143">
        <f t="shared" si="114"/>
        <v>22.2</v>
      </c>
      <c r="Q405" s="143">
        <f t="shared" si="115"/>
        <v>22.2</v>
      </c>
      <c r="S405" s="154">
        <f>SUMIF('Flt III'!D:D,A405,'Flt III'!E:E)/3.2808^2</f>
        <v>0</v>
      </c>
      <c r="T405" s="154">
        <f>SUMIF('Flt IIa'!A:A,A405,'Flt IIa'!E:E)/3.2808^2</f>
        <v>17.094575097538669</v>
      </c>
      <c r="U405" s="154">
        <f>SUMIF('OPC Des'!A:A,A405,'OPC Des'!F:F)/3.2808^2</f>
        <v>0</v>
      </c>
      <c r="V405" s="154">
        <f>SUMIF('LCS 5'!A:A,A405,'LCS 5'!E:E)</f>
        <v>0</v>
      </c>
      <c r="W405" s="154">
        <f>SUMIF('USCG Summary'!$A$25:$A$50,A405,'USCG Summary'!$D$25:$D$50)/3.2808^2</f>
        <v>0</v>
      </c>
      <c r="X405" s="153">
        <f>SUMIF('USCG Summary'!$A$25:$A$50,A405,'USCG Summary'!$I$25:$I$50)/3.2808^2</f>
        <v>0</v>
      </c>
      <c r="Y405" s="153">
        <f>SUMIF('USCG Summary'!$A$25:$A$50,A405,'USCG Summary'!$L$25:$L$50)/3.2808^2</f>
        <v>0</v>
      </c>
      <c r="Z405" s="153">
        <f>SUMIF('USCG Summary'!$A$25:$A$50,A405,'USCG Summary'!$O$25:$O$50)/3.2808^2</f>
        <v>0</v>
      </c>
      <c r="AA405" s="153">
        <f>SUMIF('USCG Summary'!$A$25:$A$50,A405,'USCG Summary'!$P$25:$P$50)/3.2808^2</f>
        <v>0</v>
      </c>
      <c r="AB405" s="153">
        <f>SUMIF('USCG Summary'!$A$25:$A$50,A405,'USCG Summary'!$Q$25:$Q$50)/3.2808^2</f>
        <v>0</v>
      </c>
      <c r="AC405" s="153">
        <f>SUMIF('USCG Summary'!$A$25:$A$50,A405,'USCG Summary'!$T$25:$T$50)/3.2808^2</f>
        <v>0</v>
      </c>
      <c r="AD405" s="153">
        <f>SUMIF('USCG Summary'!$A$25:$A$50,A405,'USCG Summary'!$W$25:$W$50)/3.2808^2</f>
        <v>0</v>
      </c>
      <c r="AE405" s="153">
        <f>SUMIF('USCG Summary'!$A$25:$A$50,A405,'USCG Summary'!$Z$25:$Z$50)/3.2808^2</f>
        <v>0</v>
      </c>
      <c r="AF405" s="154">
        <f>SUMIF(Comp!$A$75:$A$400,Areas!A405,Comp!$F$75:$F$400)</f>
        <v>22.2</v>
      </c>
      <c r="AG405" s="154">
        <f>SUMIF(Comp!$A$75:$A$400,Areas!A405,Comp!$G$75:$G$400)</f>
        <v>22.2</v>
      </c>
      <c r="AH405" s="154"/>
      <c r="AI405" s="154"/>
      <c r="AK405" s="143"/>
    </row>
    <row r="406" spans="1:37" s="148" customFormat="1">
      <c r="A406" s="146" t="s">
        <v>856</v>
      </c>
      <c r="C406" s="147">
        <f t="shared" ref="C406:F406" si="131">S406</f>
        <v>17.094575097538669</v>
      </c>
      <c r="D406" s="147">
        <f t="shared" si="131"/>
        <v>0</v>
      </c>
      <c r="E406" s="147">
        <f t="shared" si="131"/>
        <v>0</v>
      </c>
      <c r="F406" s="147">
        <f t="shared" si="131"/>
        <v>0</v>
      </c>
      <c r="G406" s="411"/>
      <c r="H406" s="411"/>
      <c r="I406" s="411"/>
      <c r="J406" s="411"/>
      <c r="K406" s="411"/>
      <c r="L406" s="411"/>
      <c r="M406" s="411"/>
      <c r="N406" s="411"/>
      <c r="O406" s="411"/>
      <c r="P406" s="147">
        <f t="shared" si="114"/>
        <v>0</v>
      </c>
      <c r="Q406" s="147">
        <f t="shared" si="115"/>
        <v>0</v>
      </c>
      <c r="S406" s="155">
        <f>SUMIF('Flt III'!D:D,A406,'Flt III'!E:E)/3.2808^2</f>
        <v>17.094575097538669</v>
      </c>
      <c r="T406" s="155">
        <f>SUMIF('Flt IIa'!A:A,A406,'Flt IIa'!E:E)/3.2808^2</f>
        <v>0</v>
      </c>
      <c r="U406" s="155">
        <f>SUMIF('OPC Des'!A:A,A406,'OPC Des'!F:F)/3.2808^2</f>
        <v>0</v>
      </c>
      <c r="V406" s="155">
        <f>SUMIF('LCS 5'!A:A,A406,'LCS 5'!E:E)</f>
        <v>0</v>
      </c>
      <c r="W406" s="155">
        <f>SUMIF('USCG Summary'!$A$25:$A$50,A406,'USCG Summary'!$D$25:$D$50)/3.2808^2</f>
        <v>0</v>
      </c>
      <c r="X406" s="153">
        <f>SUMIF('USCG Summary'!$A$25:$A$50,A406,'USCG Summary'!$I$25:$I$50)/3.2808^2</f>
        <v>0</v>
      </c>
      <c r="Y406" s="153">
        <f>SUMIF('USCG Summary'!$A$25:$A$50,A406,'USCG Summary'!$L$25:$L$50)/3.2808^2</f>
        <v>0</v>
      </c>
      <c r="Z406" s="153">
        <f>SUMIF('USCG Summary'!$A$25:$A$50,A406,'USCG Summary'!$O$25:$O$50)/3.2808^2</f>
        <v>0</v>
      </c>
      <c r="AA406" s="153">
        <f>SUMIF('USCG Summary'!$A$25:$A$50,A406,'USCG Summary'!$P$25:$P$50)/3.2808^2</f>
        <v>0</v>
      </c>
      <c r="AB406" s="153">
        <f>SUMIF('USCG Summary'!$A$25:$A$50,A406,'USCG Summary'!$Q$25:$Q$50)/3.2808^2</f>
        <v>0</v>
      </c>
      <c r="AC406" s="153">
        <f>SUMIF('USCG Summary'!$A$25:$A$50,A406,'USCG Summary'!$T$25:$T$50)/3.2808^2</f>
        <v>0</v>
      </c>
      <c r="AD406" s="153">
        <f>SUMIF('USCG Summary'!$A$25:$A$50,A406,'USCG Summary'!$W$25:$W$50)/3.2808^2</f>
        <v>0</v>
      </c>
      <c r="AE406" s="153">
        <f>SUMIF('USCG Summary'!$A$25:$A$50,A406,'USCG Summary'!$Z$25:$Z$50)/3.2808^2</f>
        <v>0</v>
      </c>
      <c r="AF406" s="155">
        <f>SUMIF(Comp!$A$75:$A$400,Areas!A406,Comp!$F$75:$F$400)</f>
        <v>0</v>
      </c>
      <c r="AG406" s="155">
        <f>SUMIF(Comp!$A$75:$A$400,Areas!A406,Comp!$G$75:$G$400)</f>
        <v>0</v>
      </c>
      <c r="AH406" s="155"/>
      <c r="AI406" s="155"/>
      <c r="AK406" s="147"/>
    </row>
    <row r="407" spans="1:37" s="132" customFormat="1">
      <c r="A407" s="142">
        <v>3.6120000000000001</v>
      </c>
      <c r="B407" s="132" t="str">
        <f>Comp!B327</f>
        <v>ELECTRICAL</v>
      </c>
      <c r="C407" s="143">
        <f>SUM(C408:C409)</f>
        <v>37.998267472246283</v>
      </c>
      <c r="D407" s="143">
        <f>T407</f>
        <v>24.619904352433412</v>
      </c>
      <c r="E407" s="143">
        <f>U407</f>
        <v>0</v>
      </c>
      <c r="F407" s="143">
        <f>V407</f>
        <v>0</v>
      </c>
      <c r="G407" s="410"/>
      <c r="H407" s="410"/>
      <c r="I407" s="410"/>
      <c r="J407" s="410"/>
      <c r="K407" s="410"/>
      <c r="L407" s="410"/>
      <c r="M407" s="410"/>
      <c r="N407" s="410"/>
      <c r="O407" s="410"/>
      <c r="P407" s="143">
        <f t="shared" si="114"/>
        <v>52.2</v>
      </c>
      <c r="Q407" s="143">
        <f t="shared" si="115"/>
        <v>52.2</v>
      </c>
      <c r="S407" s="154">
        <f>SUMIF('Flt III'!D:D,A407,'Flt III'!E:E)/3.2808^2</f>
        <v>0</v>
      </c>
      <c r="T407" s="154">
        <f>SUMIF('Flt IIa'!A:A,A407,'Flt IIa'!E:E)/3.2808^2</f>
        <v>24.619904352433412</v>
      </c>
      <c r="U407" s="154">
        <f>SUMIF('OPC Des'!A:A,A407,'OPC Des'!F:F)/3.2808^2</f>
        <v>0</v>
      </c>
      <c r="V407" s="154">
        <f>SUMIF('LCS 5'!A:A,A407,'LCS 5'!E:E)</f>
        <v>0</v>
      </c>
      <c r="W407" s="154">
        <f>SUMIF('USCG Summary'!$A$25:$A$50,A407,'USCG Summary'!$D$25:$D$50)/3.2808^2</f>
        <v>0</v>
      </c>
      <c r="X407" s="153">
        <f>SUMIF('USCG Summary'!$A$25:$A$50,A407,'USCG Summary'!$I$25:$I$50)/3.2808^2</f>
        <v>0</v>
      </c>
      <c r="Y407" s="153">
        <f>SUMIF('USCG Summary'!$A$25:$A$50,A407,'USCG Summary'!$L$25:$L$50)/3.2808^2</f>
        <v>0</v>
      </c>
      <c r="Z407" s="153">
        <f>SUMIF('USCG Summary'!$A$25:$A$50,A407,'USCG Summary'!$O$25:$O$50)/3.2808^2</f>
        <v>0</v>
      </c>
      <c r="AA407" s="153">
        <f>SUMIF('USCG Summary'!$A$25:$A$50,A407,'USCG Summary'!$P$25:$P$50)/3.2808^2</f>
        <v>0</v>
      </c>
      <c r="AB407" s="153">
        <f>SUMIF('USCG Summary'!$A$25:$A$50,A407,'USCG Summary'!$Q$25:$Q$50)/3.2808^2</f>
        <v>0</v>
      </c>
      <c r="AC407" s="153">
        <f>SUMIF('USCG Summary'!$A$25:$A$50,A407,'USCG Summary'!$T$25:$T$50)/3.2808^2</f>
        <v>0</v>
      </c>
      <c r="AD407" s="153">
        <f>SUMIF('USCG Summary'!$A$25:$A$50,A407,'USCG Summary'!$W$25:$W$50)/3.2808^2</f>
        <v>0</v>
      </c>
      <c r="AE407" s="153">
        <f>SUMIF('USCG Summary'!$A$25:$A$50,A407,'USCG Summary'!$Z$25:$Z$50)/3.2808^2</f>
        <v>0</v>
      </c>
      <c r="AF407" s="154">
        <f>SUMIF(Comp!$A$75:$A$400,Areas!A407,Comp!$F$75:$F$400)</f>
        <v>52.2</v>
      </c>
      <c r="AG407" s="154">
        <f>SUMIF(Comp!$A$75:$A$400,Areas!A407,Comp!$G$75:$G$400)</f>
        <v>52.2</v>
      </c>
      <c r="AH407" s="154"/>
      <c r="AI407" s="154"/>
      <c r="AK407" s="143"/>
    </row>
    <row r="408" spans="1:37" s="148" customFormat="1">
      <c r="A408" s="146" t="s">
        <v>851</v>
      </c>
      <c r="C408" s="147">
        <f t="shared" ref="C408:F409" si="132">S408</f>
        <v>28.521926929045499</v>
      </c>
      <c r="D408" s="147">
        <f t="shared" si="132"/>
        <v>0</v>
      </c>
      <c r="E408" s="147">
        <f t="shared" si="132"/>
        <v>0</v>
      </c>
      <c r="F408" s="147">
        <f t="shared" si="132"/>
        <v>0</v>
      </c>
      <c r="G408" s="411"/>
      <c r="H408" s="411"/>
      <c r="I408" s="411"/>
      <c r="J408" s="411"/>
      <c r="K408" s="411"/>
      <c r="L408" s="411"/>
      <c r="M408" s="411"/>
      <c r="N408" s="411"/>
      <c r="O408" s="411"/>
      <c r="P408" s="147">
        <f t="shared" si="114"/>
        <v>0</v>
      </c>
      <c r="Q408" s="147">
        <f t="shared" si="115"/>
        <v>0</v>
      </c>
      <c r="S408" s="155">
        <f>SUMIF('Flt III'!D:D,A408,'Flt III'!E:E)/3.2808^2</f>
        <v>28.521926929045499</v>
      </c>
      <c r="T408" s="155">
        <f>SUMIF('Flt IIa'!A:A,A408,'Flt IIa'!E:E)/3.2808^2</f>
        <v>0</v>
      </c>
      <c r="U408" s="155">
        <f>SUMIF('OPC Des'!A:A,A408,'OPC Des'!F:F)/3.2808^2</f>
        <v>0</v>
      </c>
      <c r="V408" s="155">
        <f>SUMIF('LCS 5'!A:A,A408,'LCS 5'!E:E)</f>
        <v>0</v>
      </c>
      <c r="W408" s="155">
        <f>SUMIF('USCG Summary'!$A$25:$A$50,A408,'USCG Summary'!$D$25:$D$50)/3.2808^2</f>
        <v>0</v>
      </c>
      <c r="X408" s="153">
        <f>SUMIF('USCG Summary'!$A$25:$A$50,A408,'USCG Summary'!$I$25:$I$50)/3.2808^2</f>
        <v>0</v>
      </c>
      <c r="Y408" s="153">
        <f>SUMIF('USCG Summary'!$A$25:$A$50,A408,'USCG Summary'!$L$25:$L$50)/3.2808^2</f>
        <v>0</v>
      </c>
      <c r="Z408" s="153">
        <f>SUMIF('USCG Summary'!$A$25:$A$50,A408,'USCG Summary'!$O$25:$O$50)/3.2808^2</f>
        <v>0</v>
      </c>
      <c r="AA408" s="153">
        <f>SUMIF('USCG Summary'!$A$25:$A$50,A408,'USCG Summary'!$P$25:$P$50)/3.2808^2</f>
        <v>0</v>
      </c>
      <c r="AB408" s="153">
        <f>SUMIF('USCG Summary'!$A$25:$A$50,A408,'USCG Summary'!$Q$25:$Q$50)/3.2808^2</f>
        <v>0</v>
      </c>
      <c r="AC408" s="153">
        <f>SUMIF('USCG Summary'!$A$25:$A$50,A408,'USCG Summary'!$T$25:$T$50)/3.2808^2</f>
        <v>0</v>
      </c>
      <c r="AD408" s="153">
        <f>SUMIF('USCG Summary'!$A$25:$A$50,A408,'USCG Summary'!$W$25:$W$50)/3.2808^2</f>
        <v>0</v>
      </c>
      <c r="AE408" s="153">
        <f>SUMIF('USCG Summary'!$A$25:$A$50,A408,'USCG Summary'!$Z$25:$Z$50)/3.2808^2</f>
        <v>0</v>
      </c>
      <c r="AF408" s="155">
        <f>SUMIF(Comp!$A$75:$A$400,Areas!A408,Comp!$F$75:$F$400)</f>
        <v>0</v>
      </c>
      <c r="AG408" s="155">
        <f>SUMIF(Comp!$A$75:$A$400,Areas!A408,Comp!$G$75:$G$400)</f>
        <v>0</v>
      </c>
      <c r="AH408" s="155"/>
      <c r="AI408" s="155"/>
      <c r="AK408" s="147"/>
    </row>
    <row r="409" spans="1:37" s="148" customFormat="1">
      <c r="A409" s="146" t="s">
        <v>848</v>
      </c>
      <c r="C409" s="147">
        <f t="shared" si="132"/>
        <v>9.4763405432007843</v>
      </c>
      <c r="D409" s="147">
        <f t="shared" si="132"/>
        <v>0</v>
      </c>
      <c r="E409" s="147">
        <f t="shared" si="132"/>
        <v>0</v>
      </c>
      <c r="F409" s="147">
        <f t="shared" si="132"/>
        <v>0</v>
      </c>
      <c r="G409" s="411"/>
      <c r="H409" s="411"/>
      <c r="I409" s="411"/>
      <c r="J409" s="411"/>
      <c r="K409" s="411"/>
      <c r="L409" s="411"/>
      <c r="M409" s="411"/>
      <c r="N409" s="411"/>
      <c r="O409" s="411"/>
      <c r="P409" s="147">
        <f t="shared" si="114"/>
        <v>0</v>
      </c>
      <c r="Q409" s="147">
        <f t="shared" si="115"/>
        <v>0</v>
      </c>
      <c r="S409" s="155">
        <f>SUMIF('Flt III'!D:D,A409,'Flt III'!E:E)/3.2808^2</f>
        <v>9.4763405432007843</v>
      </c>
      <c r="T409" s="155">
        <f>SUMIF('Flt IIa'!A:A,A409,'Flt IIa'!E:E)/3.2808^2</f>
        <v>0</v>
      </c>
      <c r="U409" s="155">
        <f>SUMIF('OPC Des'!A:A,A409,'OPC Des'!F:F)/3.2808^2</f>
        <v>0</v>
      </c>
      <c r="V409" s="155">
        <f>SUMIF('LCS 5'!A:A,A409,'LCS 5'!E:E)</f>
        <v>0</v>
      </c>
      <c r="W409" s="155">
        <f>SUMIF('USCG Summary'!$A$25:$A$50,A409,'USCG Summary'!$D$25:$D$50)/3.2808^2</f>
        <v>0</v>
      </c>
      <c r="X409" s="153">
        <f>SUMIF('USCG Summary'!$A$25:$A$50,A409,'USCG Summary'!$I$25:$I$50)/3.2808^2</f>
        <v>0</v>
      </c>
      <c r="Y409" s="153">
        <f>SUMIF('USCG Summary'!$A$25:$A$50,A409,'USCG Summary'!$L$25:$L$50)/3.2808^2</f>
        <v>0</v>
      </c>
      <c r="Z409" s="153">
        <f>SUMIF('USCG Summary'!$A$25:$A$50,A409,'USCG Summary'!$O$25:$O$50)/3.2808^2</f>
        <v>0</v>
      </c>
      <c r="AA409" s="153">
        <f>SUMIF('USCG Summary'!$A$25:$A$50,A409,'USCG Summary'!$P$25:$P$50)/3.2808^2</f>
        <v>0</v>
      </c>
      <c r="AB409" s="153">
        <f>SUMIF('USCG Summary'!$A$25:$A$50,A409,'USCG Summary'!$Q$25:$Q$50)/3.2808^2</f>
        <v>0</v>
      </c>
      <c r="AC409" s="153">
        <f>SUMIF('USCG Summary'!$A$25:$A$50,A409,'USCG Summary'!$T$25:$T$50)/3.2808^2</f>
        <v>0</v>
      </c>
      <c r="AD409" s="153">
        <f>SUMIF('USCG Summary'!$A$25:$A$50,A409,'USCG Summary'!$W$25:$W$50)/3.2808^2</f>
        <v>0</v>
      </c>
      <c r="AE409" s="153">
        <f>SUMIF('USCG Summary'!$A$25:$A$50,A409,'USCG Summary'!$Z$25:$Z$50)/3.2808^2</f>
        <v>0</v>
      </c>
      <c r="AF409" s="155">
        <f>SUMIF(Comp!$A$75:$A$400,Areas!A409,Comp!$F$75:$F$400)</f>
        <v>0</v>
      </c>
      <c r="AG409" s="155">
        <f>SUMIF(Comp!$A$75:$A$400,Areas!A409,Comp!$G$75:$G$400)</f>
        <v>0</v>
      </c>
      <c r="AH409" s="155"/>
      <c r="AI409" s="155"/>
      <c r="AK409" s="147"/>
    </row>
    <row r="410" spans="1:37" s="132" customFormat="1">
      <c r="A410" s="142">
        <v>3.613</v>
      </c>
      <c r="B410" s="132" t="str">
        <f>Comp!B328</f>
        <v>MECH (GENERAL WK SHOP)</v>
      </c>
      <c r="C410" s="143">
        <f>SUM(C411)</f>
        <v>46.731365619901908</v>
      </c>
      <c r="D410" s="143">
        <f>T410</f>
        <v>46.731365619901908</v>
      </c>
      <c r="E410" s="143">
        <f>U410</f>
        <v>0</v>
      </c>
      <c r="F410" s="143">
        <f>V410</f>
        <v>0</v>
      </c>
      <c r="G410" s="410"/>
      <c r="H410" s="410"/>
      <c r="I410" s="410"/>
      <c r="J410" s="410"/>
      <c r="K410" s="410"/>
      <c r="L410" s="410"/>
      <c r="M410" s="410"/>
      <c r="N410" s="410"/>
      <c r="O410" s="410"/>
      <c r="P410" s="143">
        <f t="shared" si="114"/>
        <v>73.400000000000006</v>
      </c>
      <c r="Q410" s="143">
        <f t="shared" si="115"/>
        <v>73.400000000000006</v>
      </c>
      <c r="S410" s="154">
        <f>SUMIF('Flt III'!D:D,A410,'Flt III'!E:E)/3.2808^2</f>
        <v>0</v>
      </c>
      <c r="T410" s="154">
        <f>SUMIF('Flt IIa'!A:A,A410,'Flt IIa'!E:E)/3.2808^2</f>
        <v>46.731365619901908</v>
      </c>
      <c r="U410" s="154">
        <f>SUMIF('OPC Des'!A:A,A410,'OPC Des'!F:F)/3.2808^2</f>
        <v>0</v>
      </c>
      <c r="V410" s="154">
        <f>SUMIF('LCS 5'!A:A,A410,'LCS 5'!E:E)</f>
        <v>0</v>
      </c>
      <c r="W410" s="154">
        <f>SUMIF('USCG Summary'!$A$25:$A$50,A410,'USCG Summary'!$D$25:$D$50)/3.2808^2</f>
        <v>0</v>
      </c>
      <c r="X410" s="153">
        <f>SUMIF('USCG Summary'!$A$25:$A$50,A410,'USCG Summary'!$I$25:$I$50)/3.2808^2</f>
        <v>0</v>
      </c>
      <c r="Y410" s="153">
        <f>SUMIF('USCG Summary'!$A$25:$A$50,A410,'USCG Summary'!$L$25:$L$50)/3.2808^2</f>
        <v>0</v>
      </c>
      <c r="Z410" s="153">
        <f>SUMIF('USCG Summary'!$A$25:$A$50,A410,'USCG Summary'!$O$25:$O$50)/3.2808^2</f>
        <v>0</v>
      </c>
      <c r="AA410" s="153">
        <f>SUMIF('USCG Summary'!$A$25:$A$50,A410,'USCG Summary'!$P$25:$P$50)/3.2808^2</f>
        <v>0</v>
      </c>
      <c r="AB410" s="153">
        <f>SUMIF('USCG Summary'!$A$25:$A$50,A410,'USCG Summary'!$Q$25:$Q$50)/3.2808^2</f>
        <v>0</v>
      </c>
      <c r="AC410" s="153">
        <f>SUMIF('USCG Summary'!$A$25:$A$50,A410,'USCG Summary'!$T$25:$T$50)/3.2808^2</f>
        <v>0</v>
      </c>
      <c r="AD410" s="153">
        <f>SUMIF('USCG Summary'!$A$25:$A$50,A410,'USCG Summary'!$W$25:$W$50)/3.2808^2</f>
        <v>0</v>
      </c>
      <c r="AE410" s="153">
        <f>SUMIF('USCG Summary'!$A$25:$A$50,A410,'USCG Summary'!$Z$25:$Z$50)/3.2808^2</f>
        <v>0</v>
      </c>
      <c r="AF410" s="154">
        <f>SUMIF(Comp!$A$75:$A$400,Areas!A410,Comp!$F$75:$F$400)</f>
        <v>73.400000000000006</v>
      </c>
      <c r="AG410" s="154">
        <f>SUMIF(Comp!$A$75:$A$400,Areas!A410,Comp!$G$75:$G$400)</f>
        <v>73.400000000000006</v>
      </c>
      <c r="AH410" s="154"/>
      <c r="AI410" s="154"/>
      <c r="AK410" s="143"/>
    </row>
    <row r="411" spans="1:37" s="148" customFormat="1">
      <c r="A411" s="146" t="s">
        <v>845</v>
      </c>
      <c r="C411" s="147">
        <f t="shared" ref="C411:F411" si="133">S411</f>
        <v>46.731365619901908</v>
      </c>
      <c r="D411" s="147">
        <f t="shared" si="133"/>
        <v>0</v>
      </c>
      <c r="E411" s="147">
        <f t="shared" si="133"/>
        <v>0</v>
      </c>
      <c r="F411" s="147">
        <f t="shared" si="133"/>
        <v>0</v>
      </c>
      <c r="G411" s="411"/>
      <c r="H411" s="411"/>
      <c r="I411" s="411"/>
      <c r="J411" s="411"/>
      <c r="K411" s="411"/>
      <c r="L411" s="411"/>
      <c r="M411" s="411"/>
      <c r="N411" s="411"/>
      <c r="O411" s="411"/>
      <c r="P411" s="147">
        <f t="shared" si="114"/>
        <v>0</v>
      </c>
      <c r="Q411" s="147">
        <f t="shared" si="115"/>
        <v>0</v>
      </c>
      <c r="S411" s="155">
        <f>SUMIF('Flt III'!D:D,A411,'Flt III'!E:E)/3.2808^2</f>
        <v>46.731365619901908</v>
      </c>
      <c r="T411" s="155">
        <f>SUMIF('Flt IIa'!A:A,A411,'Flt IIa'!E:E)/3.2808^2</f>
        <v>0</v>
      </c>
      <c r="U411" s="155">
        <f>SUMIF('OPC Des'!A:A,A411,'OPC Des'!F:F)/3.2808^2</f>
        <v>0</v>
      </c>
      <c r="V411" s="155">
        <f>SUMIF('LCS 5'!A:A,A411,'LCS 5'!E:E)</f>
        <v>0</v>
      </c>
      <c r="W411" s="155">
        <f>SUMIF('USCG Summary'!$A$25:$A$50,A411,'USCG Summary'!$D$25:$D$50)/3.2808^2</f>
        <v>0</v>
      </c>
      <c r="X411" s="153">
        <f>SUMIF('USCG Summary'!$A$25:$A$50,A411,'USCG Summary'!$I$25:$I$50)/3.2808^2</f>
        <v>0</v>
      </c>
      <c r="Y411" s="153">
        <f>SUMIF('USCG Summary'!$A$25:$A$50,A411,'USCG Summary'!$L$25:$L$50)/3.2808^2</f>
        <v>0</v>
      </c>
      <c r="Z411" s="153">
        <f>SUMIF('USCG Summary'!$A$25:$A$50,A411,'USCG Summary'!$O$25:$O$50)/3.2808^2</f>
        <v>0</v>
      </c>
      <c r="AA411" s="153">
        <f>SUMIF('USCG Summary'!$A$25:$A$50,A411,'USCG Summary'!$P$25:$P$50)/3.2808^2</f>
        <v>0</v>
      </c>
      <c r="AB411" s="153">
        <f>SUMIF('USCG Summary'!$A$25:$A$50,A411,'USCG Summary'!$Q$25:$Q$50)/3.2808^2</f>
        <v>0</v>
      </c>
      <c r="AC411" s="153">
        <f>SUMIF('USCG Summary'!$A$25:$A$50,A411,'USCG Summary'!$T$25:$T$50)/3.2808^2</f>
        <v>0</v>
      </c>
      <c r="AD411" s="153">
        <f>SUMIF('USCG Summary'!$A$25:$A$50,A411,'USCG Summary'!$W$25:$W$50)/3.2808^2</f>
        <v>0</v>
      </c>
      <c r="AE411" s="153">
        <f>SUMIF('USCG Summary'!$A$25:$A$50,A411,'USCG Summary'!$Z$25:$Z$50)/3.2808^2</f>
        <v>0</v>
      </c>
      <c r="AF411" s="155">
        <f>SUMIF(Comp!$A$75:$A$400,Areas!A411,Comp!$F$75:$F$400)</f>
        <v>0</v>
      </c>
      <c r="AG411" s="155">
        <f>SUMIF(Comp!$A$75:$A$400,Areas!A411,Comp!$G$75:$G$400)</f>
        <v>0</v>
      </c>
      <c r="AH411" s="155"/>
      <c r="AI411" s="155"/>
      <c r="AK411" s="147"/>
    </row>
    <row r="412" spans="1:37" s="132" customFormat="1">
      <c r="A412" s="142">
        <v>3.6139999999999999</v>
      </c>
      <c r="B412" s="132" t="str">
        <f>Comp!B329</f>
        <v>PROPULSION MAINTENANCE</v>
      </c>
      <c r="C412" s="143">
        <f>SUM(C413)</f>
        <v>7.3395186560084511</v>
      </c>
      <c r="D412" s="143">
        <f>T412</f>
        <v>12.263499526495133</v>
      </c>
      <c r="E412" s="143">
        <f>U412</f>
        <v>0</v>
      </c>
      <c r="F412" s="143">
        <f>V412</f>
        <v>0</v>
      </c>
      <c r="G412" s="410"/>
      <c r="H412" s="410"/>
      <c r="I412" s="410"/>
      <c r="J412" s="410"/>
      <c r="K412" s="410"/>
      <c r="L412" s="410"/>
      <c r="M412" s="410"/>
      <c r="N412" s="410"/>
      <c r="O412" s="410"/>
      <c r="P412" s="143">
        <f t="shared" si="114"/>
        <v>10.1</v>
      </c>
      <c r="Q412" s="143">
        <f t="shared" si="115"/>
        <v>10.1</v>
      </c>
      <c r="S412" s="154">
        <f>SUMIF('Flt III'!D:D,A412,'Flt III'!E:E)/3.2808^2</f>
        <v>0</v>
      </c>
      <c r="T412" s="154">
        <f>SUMIF('Flt IIa'!A:A,A412,'Flt IIa'!E:E)/3.2808^2</f>
        <v>12.263499526495133</v>
      </c>
      <c r="U412" s="154">
        <f>SUMIF('OPC Des'!A:A,A412,'OPC Des'!F:F)/3.2808^2</f>
        <v>0</v>
      </c>
      <c r="V412" s="154">
        <f>SUMIF('LCS 5'!A:A,A412,'LCS 5'!E:E)</f>
        <v>0</v>
      </c>
      <c r="W412" s="154">
        <f>SUMIF('USCG Summary'!$A$25:$A$50,A412,'USCG Summary'!$D$25:$D$50)/3.2808^2</f>
        <v>0</v>
      </c>
      <c r="X412" s="153">
        <f>SUMIF('USCG Summary'!$A$25:$A$50,A412,'USCG Summary'!$I$25:$I$50)/3.2808^2</f>
        <v>0</v>
      </c>
      <c r="Y412" s="153">
        <f>SUMIF('USCG Summary'!$A$25:$A$50,A412,'USCG Summary'!$L$25:$L$50)/3.2808^2</f>
        <v>0</v>
      </c>
      <c r="Z412" s="153">
        <f>SUMIF('USCG Summary'!$A$25:$A$50,A412,'USCG Summary'!$O$25:$O$50)/3.2808^2</f>
        <v>0</v>
      </c>
      <c r="AA412" s="153">
        <f>SUMIF('USCG Summary'!$A$25:$A$50,A412,'USCG Summary'!$P$25:$P$50)/3.2808^2</f>
        <v>0</v>
      </c>
      <c r="AB412" s="153">
        <f>SUMIF('USCG Summary'!$A$25:$A$50,A412,'USCG Summary'!$Q$25:$Q$50)/3.2808^2</f>
        <v>0</v>
      </c>
      <c r="AC412" s="153">
        <f>SUMIF('USCG Summary'!$A$25:$A$50,A412,'USCG Summary'!$T$25:$T$50)/3.2808^2</f>
        <v>0</v>
      </c>
      <c r="AD412" s="153">
        <f>SUMIF('USCG Summary'!$A$25:$A$50,A412,'USCG Summary'!$W$25:$W$50)/3.2808^2</f>
        <v>0</v>
      </c>
      <c r="AE412" s="153">
        <f>SUMIF('USCG Summary'!$A$25:$A$50,A412,'USCG Summary'!$Z$25:$Z$50)/3.2808^2</f>
        <v>0</v>
      </c>
      <c r="AF412" s="154">
        <f>SUMIF(Comp!$A$75:$A$400,Areas!A412,Comp!$F$75:$F$400)</f>
        <v>10.1</v>
      </c>
      <c r="AG412" s="154">
        <f>SUMIF(Comp!$A$75:$A$400,Areas!A412,Comp!$G$75:$G$400)</f>
        <v>10.1</v>
      </c>
      <c r="AH412" s="154"/>
      <c r="AI412" s="154"/>
      <c r="AK412" s="143"/>
    </row>
    <row r="413" spans="1:37" s="148" customFormat="1">
      <c r="A413" s="146" t="s">
        <v>842</v>
      </c>
      <c r="C413" s="147">
        <f t="shared" ref="C413:F413" si="134">S413</f>
        <v>7.3395186560084511</v>
      </c>
      <c r="D413" s="147">
        <f t="shared" si="134"/>
        <v>0</v>
      </c>
      <c r="E413" s="147">
        <f t="shared" si="134"/>
        <v>0</v>
      </c>
      <c r="F413" s="147">
        <f t="shared" si="134"/>
        <v>0</v>
      </c>
      <c r="G413" s="411"/>
      <c r="H413" s="411"/>
      <c r="I413" s="411"/>
      <c r="J413" s="411"/>
      <c r="K413" s="411"/>
      <c r="L413" s="411"/>
      <c r="M413" s="411"/>
      <c r="N413" s="411"/>
      <c r="O413" s="411"/>
      <c r="P413" s="147">
        <f t="shared" si="114"/>
        <v>0</v>
      </c>
      <c r="Q413" s="147">
        <f t="shared" si="115"/>
        <v>0</v>
      </c>
      <c r="S413" s="155">
        <f>SUMIF('Flt III'!D:D,A413,'Flt III'!E:E)/3.2808^2</f>
        <v>7.3395186560084511</v>
      </c>
      <c r="T413" s="155">
        <f>SUMIF('Flt IIa'!A:A,A413,'Flt IIa'!E:E)/3.2808^2</f>
        <v>0</v>
      </c>
      <c r="U413" s="155">
        <f>SUMIF('OPC Des'!A:A,A413,'OPC Des'!F:F)/3.2808^2</f>
        <v>0</v>
      </c>
      <c r="V413" s="155">
        <f>SUMIF('LCS 5'!A:A,A413,'LCS 5'!E:E)</f>
        <v>0</v>
      </c>
      <c r="W413" s="155">
        <f>SUMIF('USCG Summary'!$A$25:$A$50,A413,'USCG Summary'!$D$25:$D$50)/3.2808^2</f>
        <v>0</v>
      </c>
      <c r="X413" s="153">
        <f>SUMIF('USCG Summary'!$A$25:$A$50,A413,'USCG Summary'!$I$25:$I$50)/3.2808^2</f>
        <v>0</v>
      </c>
      <c r="Y413" s="153">
        <f>SUMIF('USCG Summary'!$A$25:$A$50,A413,'USCG Summary'!$L$25:$L$50)/3.2808^2</f>
        <v>0</v>
      </c>
      <c r="Z413" s="153">
        <f>SUMIF('USCG Summary'!$A$25:$A$50,A413,'USCG Summary'!$O$25:$O$50)/3.2808^2</f>
        <v>0</v>
      </c>
      <c r="AA413" s="153">
        <f>SUMIF('USCG Summary'!$A$25:$A$50,A413,'USCG Summary'!$P$25:$P$50)/3.2808^2</f>
        <v>0</v>
      </c>
      <c r="AB413" s="153">
        <f>SUMIF('USCG Summary'!$A$25:$A$50,A413,'USCG Summary'!$Q$25:$Q$50)/3.2808^2</f>
        <v>0</v>
      </c>
      <c r="AC413" s="153">
        <f>SUMIF('USCG Summary'!$A$25:$A$50,A413,'USCG Summary'!$T$25:$T$50)/3.2808^2</f>
        <v>0</v>
      </c>
      <c r="AD413" s="153">
        <f>SUMIF('USCG Summary'!$A$25:$A$50,A413,'USCG Summary'!$W$25:$W$50)/3.2808^2</f>
        <v>0</v>
      </c>
      <c r="AE413" s="153">
        <f>SUMIF('USCG Summary'!$A$25:$A$50,A413,'USCG Summary'!$Z$25:$Z$50)/3.2808^2</f>
        <v>0</v>
      </c>
      <c r="AF413" s="155">
        <f>SUMIF(Comp!$A$75:$A$400,Areas!A413,Comp!$F$75:$F$400)</f>
        <v>0</v>
      </c>
      <c r="AG413" s="155">
        <f>SUMIF(Comp!$A$75:$A$400,Areas!A413,Comp!$G$75:$G$400)</f>
        <v>0</v>
      </c>
      <c r="AH413" s="155"/>
      <c r="AI413" s="155"/>
      <c r="AK413" s="147"/>
    </row>
    <row r="414" spans="1:37" s="134" customFormat="1">
      <c r="A414" s="140">
        <v>3.62</v>
      </c>
      <c r="B414" s="134" t="str">
        <f>Comp!B330</f>
        <v>OPERATIONS DEPT (ELECT SHOP)</v>
      </c>
      <c r="C414" s="149">
        <f>S414</f>
        <v>0</v>
      </c>
      <c r="D414" s="149">
        <f>T414</f>
        <v>28.521926929045499</v>
      </c>
      <c r="E414" s="149">
        <f>U414</f>
        <v>0</v>
      </c>
      <c r="F414" s="149">
        <f>V414</f>
        <v>0</v>
      </c>
      <c r="G414" s="409"/>
      <c r="H414" s="409"/>
      <c r="I414" s="409"/>
      <c r="J414" s="409"/>
      <c r="K414" s="409"/>
      <c r="L414" s="409"/>
      <c r="M414" s="409"/>
      <c r="N414" s="409"/>
      <c r="O414" s="409"/>
      <c r="P414" s="149">
        <f t="shared" si="114"/>
        <v>49</v>
      </c>
      <c r="Q414" s="149">
        <f t="shared" si="115"/>
        <v>60.6</v>
      </c>
      <c r="S414" s="153">
        <f>SUMIF('Flt III'!D:D,A414,'Flt III'!E:E)/3.2808^2</f>
        <v>0</v>
      </c>
      <c r="T414" s="153">
        <f>SUMIF('Flt IIa'!A:A,A414,'Flt IIa'!E:E)/3.2808^2</f>
        <v>28.521926929045499</v>
      </c>
      <c r="U414" s="153">
        <f>SUMIF('OPC Des'!A:A,A414,'OPC Des'!F:F)/3.2808^2</f>
        <v>0</v>
      </c>
      <c r="V414" s="153">
        <f>SUMIF('LCS 5'!A:A,A414,'LCS 5'!E:E)</f>
        <v>0</v>
      </c>
      <c r="W414" s="153">
        <f>SUMIF('USCG Summary'!$A$25:$A$50,A414,'USCG Summary'!$D$25:$D$50)/3.2808^2</f>
        <v>0</v>
      </c>
      <c r="X414" s="153">
        <f>SUMIF('USCG Summary'!$A$25:$A$50,A414,'USCG Summary'!$I$25:$I$50)/3.2808^2</f>
        <v>0</v>
      </c>
      <c r="Y414" s="153">
        <f>SUMIF('USCG Summary'!$A$25:$A$50,A414,'USCG Summary'!$L$25:$L$50)/3.2808^2</f>
        <v>0</v>
      </c>
      <c r="Z414" s="153">
        <f>SUMIF('USCG Summary'!$A$25:$A$50,A414,'USCG Summary'!$O$25:$O$50)/3.2808^2</f>
        <v>0</v>
      </c>
      <c r="AA414" s="153">
        <f>SUMIF('USCG Summary'!$A$25:$A$50,A414,'USCG Summary'!$P$25:$P$50)/3.2808^2</f>
        <v>0</v>
      </c>
      <c r="AB414" s="153">
        <f>SUMIF('USCG Summary'!$A$25:$A$50,A414,'USCG Summary'!$Q$25:$Q$50)/3.2808^2</f>
        <v>0</v>
      </c>
      <c r="AC414" s="153">
        <f>SUMIF('USCG Summary'!$A$25:$A$50,A414,'USCG Summary'!$T$25:$T$50)/3.2808^2</f>
        <v>0</v>
      </c>
      <c r="AD414" s="153">
        <f>SUMIF('USCG Summary'!$A$25:$A$50,A414,'USCG Summary'!$W$25:$W$50)/3.2808^2</f>
        <v>0</v>
      </c>
      <c r="AE414" s="153">
        <f>SUMIF('USCG Summary'!$A$25:$A$50,A414,'USCG Summary'!$Z$25:$Z$50)/3.2808^2</f>
        <v>0</v>
      </c>
      <c r="AF414" s="153">
        <f>SUMIF(Comp!$A$75:$A$400,Areas!A414,Comp!$F$75:$F$400)</f>
        <v>49</v>
      </c>
      <c r="AG414" s="153">
        <f>SUMIF(Comp!$A$75:$A$400,Areas!A414,Comp!$G$75:$G$400)</f>
        <v>60.6</v>
      </c>
      <c r="AH414" s="153"/>
      <c r="AI414" s="153"/>
      <c r="AK414" s="133"/>
    </row>
    <row r="415" spans="1:37" s="134" customFormat="1">
      <c r="A415" s="140">
        <v>3.63</v>
      </c>
      <c r="B415" s="134" t="str">
        <f>Comp!B331</f>
        <v>WEAPONS DEPT (ORDINANCE SHOP)</v>
      </c>
      <c r="C415" s="149">
        <f t="shared" ref="C415:F416" si="135">S415</f>
        <v>0</v>
      </c>
      <c r="D415" s="149">
        <f t="shared" si="135"/>
        <v>0</v>
      </c>
      <c r="E415" s="149">
        <f t="shared" si="135"/>
        <v>0</v>
      </c>
      <c r="F415" s="149">
        <f t="shared" si="135"/>
        <v>0</v>
      </c>
      <c r="G415" s="409"/>
      <c r="H415" s="409"/>
      <c r="I415" s="409"/>
      <c r="J415" s="409"/>
      <c r="K415" s="409"/>
      <c r="L415" s="409"/>
      <c r="M415" s="409"/>
      <c r="N415" s="409"/>
      <c r="O415" s="409"/>
      <c r="P415" s="149">
        <f t="shared" si="114"/>
        <v>12.1</v>
      </c>
      <c r="Q415" s="149">
        <f t="shared" si="115"/>
        <v>12.1</v>
      </c>
      <c r="S415" s="153">
        <f>SUMIF('Flt III'!D:D,A415,'Flt III'!E:E)/3.2808^2</f>
        <v>0</v>
      </c>
      <c r="T415" s="153">
        <f>SUMIF('Flt IIa'!A:A,A415,'Flt IIa'!E:E)/3.2808^2</f>
        <v>0</v>
      </c>
      <c r="U415" s="153">
        <f>SUMIF('OPC Des'!A:A,A415,'OPC Des'!F:F)/3.2808^2</f>
        <v>0</v>
      </c>
      <c r="V415" s="153">
        <f>SUMIF('LCS 5'!A:A,A415,'LCS 5'!E:E)</f>
        <v>0</v>
      </c>
      <c r="W415" s="153">
        <f>SUMIF('USCG Summary'!$A$25:$A$50,A415,'USCG Summary'!$D$25:$D$50)/3.2808^2</f>
        <v>0</v>
      </c>
      <c r="X415" s="153">
        <f>SUMIF('USCG Summary'!$A$25:$A$50,A415,'USCG Summary'!$I$25:$I$50)/3.2808^2</f>
        <v>0</v>
      </c>
      <c r="Y415" s="153">
        <f>SUMIF('USCG Summary'!$A$25:$A$50,A415,'USCG Summary'!$L$25:$L$50)/3.2808^2</f>
        <v>0</v>
      </c>
      <c r="Z415" s="153">
        <f>SUMIF('USCG Summary'!$A$25:$A$50,A415,'USCG Summary'!$O$25:$O$50)/3.2808^2</f>
        <v>0</v>
      </c>
      <c r="AA415" s="153">
        <f>SUMIF('USCG Summary'!$A$25:$A$50,A415,'USCG Summary'!$P$25:$P$50)/3.2808^2</f>
        <v>0</v>
      </c>
      <c r="AB415" s="153">
        <f>SUMIF('USCG Summary'!$A$25:$A$50,A415,'USCG Summary'!$Q$25:$Q$50)/3.2808^2</f>
        <v>0</v>
      </c>
      <c r="AC415" s="153">
        <f>SUMIF('USCG Summary'!$A$25:$A$50,A415,'USCG Summary'!$T$25:$T$50)/3.2808^2</f>
        <v>0</v>
      </c>
      <c r="AD415" s="153">
        <f>SUMIF('USCG Summary'!$A$25:$A$50,A415,'USCG Summary'!$W$25:$W$50)/3.2808^2</f>
        <v>0</v>
      </c>
      <c r="AE415" s="153">
        <f>SUMIF('USCG Summary'!$A$25:$A$50,A415,'USCG Summary'!$Z$25:$Z$50)/3.2808^2</f>
        <v>0</v>
      </c>
      <c r="AF415" s="153">
        <f>SUMIF(Comp!$A$75:$A$400,Areas!A415,Comp!$F$75:$F$400)</f>
        <v>12.1</v>
      </c>
      <c r="AG415" s="153">
        <f>SUMIF(Comp!$A$75:$A$400,Areas!A415,Comp!$G$75:$G$400)</f>
        <v>12.1</v>
      </c>
      <c r="AH415" s="153"/>
      <c r="AI415" s="153"/>
      <c r="AK415" s="133"/>
    </row>
    <row r="416" spans="1:37" s="134" customFormat="1">
      <c r="A416" s="140">
        <v>3.64</v>
      </c>
      <c r="B416" s="134" t="str">
        <f>Comp!B332</f>
        <v>DECK DEPT (CARPENTER SHOP)</v>
      </c>
      <c r="C416" s="149">
        <f t="shared" si="135"/>
        <v>0</v>
      </c>
      <c r="D416" s="149">
        <f t="shared" si="135"/>
        <v>0</v>
      </c>
      <c r="E416" s="149">
        <f t="shared" si="135"/>
        <v>0</v>
      </c>
      <c r="F416" s="149">
        <f t="shared" si="135"/>
        <v>0</v>
      </c>
      <c r="G416" s="409"/>
      <c r="H416" s="409"/>
      <c r="I416" s="409"/>
      <c r="J416" s="409"/>
      <c r="K416" s="409"/>
      <c r="L416" s="409"/>
      <c r="M416" s="409"/>
      <c r="N416" s="409"/>
      <c r="O416" s="409"/>
      <c r="P416" s="149">
        <f t="shared" si="114"/>
        <v>0</v>
      </c>
      <c r="Q416" s="149">
        <f t="shared" si="115"/>
        <v>0</v>
      </c>
      <c r="S416" s="153">
        <f>SUMIF('Flt III'!D:D,A416,'Flt III'!E:E)/3.2808^2</f>
        <v>0</v>
      </c>
      <c r="T416" s="153">
        <f>SUMIF('Flt IIa'!A:A,A416,'Flt IIa'!E:E)/3.2808^2</f>
        <v>0</v>
      </c>
      <c r="U416" s="153">
        <f>SUMIF('OPC Des'!A:A,A416,'OPC Des'!F:F)/3.2808^2</f>
        <v>0</v>
      </c>
      <c r="V416" s="153">
        <f>SUMIF('LCS 5'!A:A,A416,'LCS 5'!E:E)</f>
        <v>0</v>
      </c>
      <c r="W416" s="153">
        <f>SUMIF('USCG Summary'!$A$25:$A$50,A416,'USCG Summary'!$D$25:$D$50)/3.2808^2</f>
        <v>0</v>
      </c>
      <c r="X416" s="153">
        <f>SUMIF('USCG Summary'!$A$25:$A$50,A416,'USCG Summary'!$I$25:$I$50)/3.2808^2</f>
        <v>0</v>
      </c>
      <c r="Y416" s="153">
        <f>SUMIF('USCG Summary'!$A$25:$A$50,A416,'USCG Summary'!$L$25:$L$50)/3.2808^2</f>
        <v>0</v>
      </c>
      <c r="Z416" s="153">
        <f>SUMIF('USCG Summary'!$A$25:$A$50,A416,'USCG Summary'!$O$25:$O$50)/3.2808^2</f>
        <v>0</v>
      </c>
      <c r="AA416" s="153">
        <f>SUMIF('USCG Summary'!$A$25:$A$50,A416,'USCG Summary'!$P$25:$P$50)/3.2808^2</f>
        <v>0</v>
      </c>
      <c r="AB416" s="153">
        <f>SUMIF('USCG Summary'!$A$25:$A$50,A416,'USCG Summary'!$Q$25:$Q$50)/3.2808^2</f>
        <v>0</v>
      </c>
      <c r="AC416" s="153">
        <f>SUMIF('USCG Summary'!$A$25:$A$50,A416,'USCG Summary'!$T$25:$T$50)/3.2808^2</f>
        <v>0</v>
      </c>
      <c r="AD416" s="153">
        <f>SUMIF('USCG Summary'!$A$25:$A$50,A416,'USCG Summary'!$W$25:$W$50)/3.2808^2</f>
        <v>0</v>
      </c>
      <c r="AE416" s="153">
        <f>SUMIF('USCG Summary'!$A$25:$A$50,A416,'USCG Summary'!$Z$25:$Z$50)/3.2808^2</f>
        <v>0</v>
      </c>
      <c r="AF416" s="153">
        <f>SUMIF(Comp!$A$75:$A$400,Areas!A416,Comp!$F$75:$F$400)</f>
        <v>0</v>
      </c>
      <c r="AG416" s="153">
        <f>SUMIF(Comp!$A$75:$A$400,Areas!A416,Comp!$G$75:$G$400)</f>
        <v>0</v>
      </c>
      <c r="AH416" s="153"/>
      <c r="AI416" s="153"/>
      <c r="AK416" s="133"/>
    </row>
    <row r="417" spans="1:37" s="139" customFormat="1">
      <c r="A417" s="137">
        <v>3.7</v>
      </c>
      <c r="B417" s="139" t="str">
        <f>Comp!B333</f>
        <v>STOWAGE</v>
      </c>
      <c r="C417" s="150">
        <f>C418+C419+C433+C435+C436+C445+C446+C448</f>
        <v>455.42177787029652</v>
      </c>
      <c r="D417" s="150">
        <f>D418+D419+D433+D435+D436+D445+D446+D448</f>
        <v>453.56367188143366</v>
      </c>
      <c r="E417" s="150">
        <f>E418+E419+E433+E435+E436+E445+E446+E448</f>
        <v>89.467803363748573</v>
      </c>
      <c r="F417" s="300">
        <f>F418+F419+F433+F435+F436+F445+F446+F448</f>
        <v>13.34</v>
      </c>
      <c r="G417" s="406">
        <f>W417</f>
        <v>0</v>
      </c>
      <c r="H417" s="406">
        <f t="shared" ref="H417:O417" si="136">X417</f>
        <v>5.6207706163102698</v>
      </c>
      <c r="I417" s="406">
        <f t="shared" si="136"/>
        <v>14.679037312016902</v>
      </c>
      <c r="J417" s="406">
        <f t="shared" si="136"/>
        <v>4.4594543732709573</v>
      </c>
      <c r="K417" s="406">
        <f t="shared" si="136"/>
        <v>0</v>
      </c>
      <c r="L417" s="406">
        <f t="shared" si="136"/>
        <v>0</v>
      </c>
      <c r="M417" s="406">
        <f t="shared" si="136"/>
        <v>109.16372684569531</v>
      </c>
      <c r="N417" s="406">
        <f t="shared" si="136"/>
        <v>106.74818906017354</v>
      </c>
      <c r="O417" s="406">
        <f t="shared" si="136"/>
        <v>249.72944490317363</v>
      </c>
      <c r="P417" s="138">
        <f t="shared" si="114"/>
        <v>556</v>
      </c>
      <c r="Q417" s="138">
        <f t="shared" si="115"/>
        <v>556</v>
      </c>
      <c r="S417" s="152">
        <f>SUMIF('Flt III'!D:D,A417,'Flt III'!E:E)/3.2808^2</f>
        <v>0</v>
      </c>
      <c r="T417" s="152">
        <f>SUMIF('Flt IIa'!A:A,A417,'Flt IIa'!E:E)/3.2808^2</f>
        <v>0</v>
      </c>
      <c r="U417" s="152">
        <f>SUMIF('OPC Des'!A:A,A417,'OPC Des'!F:F)/3.2808^2</f>
        <v>0</v>
      </c>
      <c r="V417" s="152">
        <f>SUMIF('LCS 5'!A:A,A417,'LCS 5'!E:E)</f>
        <v>11.65</v>
      </c>
      <c r="W417" s="152">
        <f>SUMIF('USCG Summary'!$A$25:$A$50,A417,'USCG Summary'!$D$25:$D$50)/3.2808^2</f>
        <v>0</v>
      </c>
      <c r="X417" s="153">
        <f>SUMIF('USCG Summary'!$A$25:$A$50,A417,'USCG Summary'!$I$25:$I$50)/3.2808^2</f>
        <v>5.6207706163102698</v>
      </c>
      <c r="Y417" s="153">
        <f>SUMIF('USCG Summary'!$A$25:$A$50,A417,'USCG Summary'!$L$25:$L$50)/3.2808^2</f>
        <v>14.679037312016902</v>
      </c>
      <c r="Z417" s="153">
        <f>SUMIF('USCG Summary'!$A$25:$A$50,A417,'USCG Summary'!$O$25:$O$50)/3.2808^2</f>
        <v>4.4594543732709573</v>
      </c>
      <c r="AA417" s="153">
        <f>SUMIF('USCG Summary'!$A$25:$A$50,A417,'USCG Summary'!$P$25:$P$50)/3.2808^2</f>
        <v>0</v>
      </c>
      <c r="AB417" s="153">
        <f>SUMIF('USCG Summary'!$A$25:$A$50,A417,'USCG Summary'!$Q$25:$Q$50)/3.2808^2</f>
        <v>0</v>
      </c>
      <c r="AC417" s="153">
        <f>SUMIF('USCG Summary'!$A$25:$A$50,A417,'USCG Summary'!$T$25:$T$50)/3.2808^2</f>
        <v>109.16372684569531</v>
      </c>
      <c r="AD417" s="153">
        <f>SUMIF('USCG Summary'!$A$25:$A$50,A417,'USCG Summary'!$W$25:$W$50)/3.2808^2</f>
        <v>106.74818906017354</v>
      </c>
      <c r="AE417" s="153">
        <f>SUMIF('USCG Summary'!$A$25:$A$50,A417,'USCG Summary'!$Z$25:$Z$50)/3.2808^2</f>
        <v>249.72944490317363</v>
      </c>
      <c r="AF417" s="152">
        <f>SUMIF(Comp!$A$75:$A$400,Areas!A417,Comp!$F$75:$F$400)</f>
        <v>556</v>
      </c>
      <c r="AG417" s="152">
        <f>SUMIF(Comp!$A$75:$A$400,Areas!A417,Comp!$G$75:$G$400)</f>
        <v>556</v>
      </c>
      <c r="AH417" s="152"/>
      <c r="AI417" s="152"/>
      <c r="AK417" s="138"/>
    </row>
    <row r="418" spans="1:37" s="141" customFormat="1">
      <c r="A418" s="144">
        <v>3.7031000000000001</v>
      </c>
      <c r="C418" s="145">
        <f>S418</f>
        <v>24.898620250762846</v>
      </c>
      <c r="D418" s="145">
        <f>T418</f>
        <v>0</v>
      </c>
      <c r="E418" s="145">
        <f>U418</f>
        <v>0</v>
      </c>
      <c r="F418" s="301">
        <f>V418</f>
        <v>0</v>
      </c>
      <c r="G418" s="412"/>
      <c r="H418" s="412"/>
      <c r="I418" s="412"/>
      <c r="J418" s="412"/>
      <c r="K418" s="412"/>
      <c r="L418" s="412"/>
      <c r="M418" s="412"/>
      <c r="N418" s="412"/>
      <c r="O418" s="412"/>
      <c r="P418" s="145">
        <f t="shared" si="114"/>
        <v>0</v>
      </c>
      <c r="Q418" s="145">
        <f t="shared" si="115"/>
        <v>0</v>
      </c>
      <c r="S418" s="156">
        <f>SUMIF('Flt III'!D:D,A418,'Flt III'!E:E)/3.2808^2</f>
        <v>24.898620250762846</v>
      </c>
      <c r="T418" s="156">
        <f>SUMIF('Flt IIa'!A:A,A418,'Flt IIa'!E:E)/3.2808^2</f>
        <v>0</v>
      </c>
      <c r="U418" s="156">
        <f>SUMIF('OPC Des'!A:A,A418,'OPC Des'!F:F)/3.2808^2</f>
        <v>0</v>
      </c>
      <c r="V418" s="156">
        <f>SUMIF('LCS 5'!A:A,A418,'LCS 5'!E:E)</f>
        <v>0</v>
      </c>
      <c r="W418" s="156">
        <f>SUMIF('USCG Summary'!$A$25:$A$50,A418,'USCG Summary'!$D$25:$D$50)/3.2808^2</f>
        <v>0</v>
      </c>
      <c r="X418" s="153">
        <f>SUMIF('USCG Summary'!$A$25:$A$50,A418,'USCG Summary'!$I$25:$I$50)/3.2808^2</f>
        <v>0</v>
      </c>
      <c r="Y418" s="153">
        <f>SUMIF('USCG Summary'!$A$25:$A$50,A418,'USCG Summary'!$L$25:$L$50)/3.2808^2</f>
        <v>0</v>
      </c>
      <c r="Z418" s="153">
        <f>SUMIF('USCG Summary'!$A$25:$A$50,A418,'USCG Summary'!$O$25:$O$50)/3.2808^2</f>
        <v>0</v>
      </c>
      <c r="AA418" s="153">
        <f>SUMIF('USCG Summary'!$A$25:$A$50,A418,'USCG Summary'!$P$25:$P$50)/3.2808^2</f>
        <v>0</v>
      </c>
      <c r="AB418" s="153">
        <f>SUMIF('USCG Summary'!$A$25:$A$50,A418,'USCG Summary'!$Q$25:$Q$50)/3.2808^2</f>
        <v>0</v>
      </c>
      <c r="AC418" s="153">
        <f>SUMIF('USCG Summary'!$A$25:$A$50,A418,'USCG Summary'!$T$25:$T$50)/3.2808^2</f>
        <v>0</v>
      </c>
      <c r="AD418" s="153">
        <f>SUMIF('USCG Summary'!$A$25:$A$50,A418,'USCG Summary'!$W$25:$W$50)/3.2808^2</f>
        <v>0</v>
      </c>
      <c r="AE418" s="153">
        <f>SUMIF('USCG Summary'!$A$25:$A$50,A418,'USCG Summary'!$Z$25:$Z$50)/3.2808^2</f>
        <v>0</v>
      </c>
      <c r="AF418" s="156">
        <f>SUMIF(Comp!$A$75:$A$400,Areas!A418,Comp!$F$75:$F$400)</f>
        <v>0</v>
      </c>
      <c r="AG418" s="156">
        <f>SUMIF(Comp!$A$75:$A$400,Areas!A418,Comp!$G$75:$G$400)</f>
        <v>0</v>
      </c>
      <c r="AH418" s="156"/>
      <c r="AI418" s="156"/>
      <c r="AK418" s="145"/>
    </row>
    <row r="419" spans="1:37" s="134" customFormat="1">
      <c r="A419" s="140">
        <v>3.71</v>
      </c>
      <c r="B419" s="134" t="str">
        <f>Comp!B334</f>
        <v>SUPPLY DEPT</v>
      </c>
      <c r="C419" s="149">
        <f>C420+C424+C426+C429+C430</f>
        <v>234.77169169282729</v>
      </c>
      <c r="D419" s="149">
        <f>D420+D424+D426+D429+D430</f>
        <v>244.71255873324378</v>
      </c>
      <c r="E419" s="149">
        <f>E420+E424+E426+E429+E430</f>
        <v>17.094575097538669</v>
      </c>
      <c r="F419" s="302">
        <f>F420+F424+F426+F429+F430</f>
        <v>12.55</v>
      </c>
      <c r="G419" s="409"/>
      <c r="H419" s="409"/>
      <c r="I419" s="409"/>
      <c r="J419" s="409"/>
      <c r="K419" s="409"/>
      <c r="L419" s="409"/>
      <c r="M419" s="409"/>
      <c r="N419" s="409"/>
      <c r="O419" s="409"/>
      <c r="P419" s="149">
        <f t="shared" si="114"/>
        <v>396.5</v>
      </c>
      <c r="Q419" s="149">
        <f t="shared" si="115"/>
        <v>396.5</v>
      </c>
      <c r="S419" s="153">
        <f>SUMIF('Flt III'!D:D,A419,'Flt III'!E:E)/3.2808^2</f>
        <v>0</v>
      </c>
      <c r="T419" s="153">
        <f>SUMIF('Flt IIa'!A:A,A419,'Flt IIa'!E:E)/3.2808^2</f>
        <v>0</v>
      </c>
      <c r="U419" s="153">
        <f>SUMIF('OPC Des'!A:A,A419,'OPC Des'!F:F)/3.2808^2</f>
        <v>0</v>
      </c>
      <c r="V419" s="153">
        <f>SUMIF('LCS 5'!A:A,A419,'LCS 5'!E:E)</f>
        <v>0</v>
      </c>
      <c r="W419" s="153">
        <f>SUMIF('USCG Summary'!$A$25:$A$50,A419,'USCG Summary'!$D$25:$D$50)/3.2808^2</f>
        <v>0</v>
      </c>
      <c r="X419" s="153">
        <f>SUMIF('USCG Summary'!$A$25:$A$50,A419,'USCG Summary'!$I$25:$I$50)/3.2808^2</f>
        <v>0</v>
      </c>
      <c r="Y419" s="153">
        <f>SUMIF('USCG Summary'!$A$25:$A$50,A419,'USCG Summary'!$L$25:$L$50)/3.2808^2</f>
        <v>0</v>
      </c>
      <c r="Z419" s="153">
        <f>SUMIF('USCG Summary'!$A$25:$A$50,A419,'USCG Summary'!$O$25:$O$50)/3.2808^2</f>
        <v>0</v>
      </c>
      <c r="AA419" s="153">
        <f>SUMIF('USCG Summary'!$A$25:$A$50,A419,'USCG Summary'!$P$25:$P$50)/3.2808^2</f>
        <v>0</v>
      </c>
      <c r="AB419" s="153">
        <f>SUMIF('USCG Summary'!$A$25:$A$50,A419,'USCG Summary'!$Q$25:$Q$50)/3.2808^2</f>
        <v>0</v>
      </c>
      <c r="AC419" s="153">
        <f>SUMIF('USCG Summary'!$A$25:$A$50,A419,'USCG Summary'!$T$25:$T$50)/3.2808^2</f>
        <v>0</v>
      </c>
      <c r="AD419" s="153">
        <f>SUMIF('USCG Summary'!$A$25:$A$50,A419,'USCG Summary'!$W$25:$W$50)/3.2808^2</f>
        <v>0</v>
      </c>
      <c r="AE419" s="153">
        <f>SUMIF('USCG Summary'!$A$25:$A$50,A419,'USCG Summary'!$Z$25:$Z$50)/3.2808^2</f>
        <v>0</v>
      </c>
      <c r="AF419" s="153">
        <f>SUMIF(Comp!$A$75:$A$400,Areas!A419,Comp!$F$75:$F$400)</f>
        <v>396.5</v>
      </c>
      <c r="AG419" s="153">
        <f>SUMIF(Comp!$A$75:$A$400,Areas!A419,Comp!$G$75:$G$400)</f>
        <v>396.5</v>
      </c>
      <c r="AH419" s="153"/>
      <c r="AI419" s="153"/>
      <c r="AK419" s="133"/>
    </row>
    <row r="420" spans="1:37" s="132" customFormat="1">
      <c r="A420" s="142">
        <v>3.7109999999999999</v>
      </c>
      <c r="B420" s="132" t="str">
        <f>Comp!B335</f>
        <v>HAZARDOUS MATL (FLAM LIQ)</v>
      </c>
      <c r="C420" s="143">
        <f>SUM(C421:C423)</f>
        <v>53.234736580922061</v>
      </c>
      <c r="D420" s="143">
        <f>T420</f>
        <v>47.288797416560776</v>
      </c>
      <c r="E420" s="143">
        <f>U420</f>
        <v>17.094575097538669</v>
      </c>
      <c r="F420" s="303">
        <f>V420+SUM(F421:F423)</f>
        <v>12.55</v>
      </c>
      <c r="G420" s="410"/>
      <c r="H420" s="410"/>
      <c r="I420" s="410"/>
      <c r="J420" s="410"/>
      <c r="K420" s="410"/>
      <c r="L420" s="410"/>
      <c r="M420" s="410"/>
      <c r="N420" s="410"/>
      <c r="O420" s="410"/>
      <c r="P420" s="143">
        <f t="shared" ref="P420:P483" si="137">AF420</f>
        <v>43.7</v>
      </c>
      <c r="Q420" s="143">
        <f t="shared" ref="Q420:Q483" si="138">AG420</f>
        <v>43.7</v>
      </c>
      <c r="S420" s="154">
        <f>SUMIF('Flt III'!D:D,A420,'Flt III'!E:E)/3.2808^2</f>
        <v>0</v>
      </c>
      <c r="T420" s="154">
        <f>SUMIF('Flt IIa'!A:A,A420,'Flt IIa'!E:E)/3.2808^2</f>
        <v>47.288797416560776</v>
      </c>
      <c r="U420" s="154">
        <f>SUMIF('OPC Des'!A:A,A420,'OPC Des'!F:F)/3.2808^2</f>
        <v>17.094575097538669</v>
      </c>
      <c r="V420" s="154">
        <f>SUMIF('LCS 5'!A:A,A420,'LCS 5'!E:E)</f>
        <v>5.76</v>
      </c>
      <c r="W420" s="154">
        <f>SUMIF('USCG Summary'!$A$25:$A$50,A420,'USCG Summary'!$D$25:$D$50)/3.2808^2</f>
        <v>0</v>
      </c>
      <c r="X420" s="153">
        <f>SUMIF('USCG Summary'!$A$25:$A$50,A420,'USCG Summary'!$I$25:$I$50)/3.2808^2</f>
        <v>0</v>
      </c>
      <c r="Y420" s="153">
        <f>SUMIF('USCG Summary'!$A$25:$A$50,A420,'USCG Summary'!$L$25:$L$50)/3.2808^2</f>
        <v>0</v>
      </c>
      <c r="Z420" s="153">
        <f>SUMIF('USCG Summary'!$A$25:$A$50,A420,'USCG Summary'!$O$25:$O$50)/3.2808^2</f>
        <v>0</v>
      </c>
      <c r="AA420" s="153">
        <f>SUMIF('USCG Summary'!$A$25:$A$50,A420,'USCG Summary'!$P$25:$P$50)/3.2808^2</f>
        <v>0</v>
      </c>
      <c r="AB420" s="153">
        <f>SUMIF('USCG Summary'!$A$25:$A$50,A420,'USCG Summary'!$Q$25:$Q$50)/3.2808^2</f>
        <v>0</v>
      </c>
      <c r="AC420" s="153">
        <f>SUMIF('USCG Summary'!$A$25:$A$50,A420,'USCG Summary'!$T$25:$T$50)/3.2808^2</f>
        <v>0</v>
      </c>
      <c r="AD420" s="153">
        <f>SUMIF('USCG Summary'!$A$25:$A$50,A420,'USCG Summary'!$W$25:$W$50)/3.2808^2</f>
        <v>0</v>
      </c>
      <c r="AE420" s="153">
        <f>SUMIF('USCG Summary'!$A$25:$A$50,A420,'USCG Summary'!$Z$25:$Z$50)/3.2808^2</f>
        <v>0</v>
      </c>
      <c r="AF420" s="154">
        <f>SUMIF(Comp!$A$75:$A$400,Areas!A420,Comp!$F$75:$F$400)</f>
        <v>43.7</v>
      </c>
      <c r="AG420" s="154">
        <f>SUMIF(Comp!$A$75:$A$400,Areas!A420,Comp!$G$75:$G$400)</f>
        <v>43.7</v>
      </c>
      <c r="AH420" s="154"/>
      <c r="AI420" s="154"/>
      <c r="AK420" s="143"/>
    </row>
    <row r="421" spans="1:37" s="148" customFormat="1">
      <c r="A421" s="146" t="s">
        <v>834</v>
      </c>
      <c r="C421" s="147">
        <f t="shared" ref="C421:F423" si="139">S421</f>
        <v>30.658748816237832</v>
      </c>
      <c r="D421" s="147">
        <f t="shared" si="139"/>
        <v>0</v>
      </c>
      <c r="E421" s="147">
        <f t="shared" si="139"/>
        <v>0</v>
      </c>
      <c r="F421" s="304">
        <f t="shared" si="139"/>
        <v>0</v>
      </c>
      <c r="G421" s="411"/>
      <c r="H421" s="411"/>
      <c r="I421" s="411"/>
      <c r="J421" s="411"/>
      <c r="K421" s="411"/>
      <c r="L421" s="411"/>
      <c r="M421" s="411"/>
      <c r="N421" s="411"/>
      <c r="O421" s="411"/>
      <c r="P421" s="147">
        <f t="shared" si="137"/>
        <v>0</v>
      </c>
      <c r="Q421" s="147">
        <f t="shared" si="138"/>
        <v>0</v>
      </c>
      <c r="S421" s="155">
        <f>SUMIF('Flt III'!D:D,A421,'Flt III'!E:E)/3.2808^2</f>
        <v>30.658748816237832</v>
      </c>
      <c r="T421" s="155">
        <f>SUMIF('Flt IIa'!A:A,A421,'Flt IIa'!E:E)/3.2808^2</f>
        <v>0</v>
      </c>
      <c r="U421" s="155">
        <f>SUMIF('OPC Des'!A:A,A421,'OPC Des'!F:F)/3.2808^2</f>
        <v>0</v>
      </c>
      <c r="V421" s="155">
        <f>SUMIF('LCS 5'!A:A,A421,'LCS 5'!E:E)</f>
        <v>0</v>
      </c>
      <c r="W421" s="155">
        <f>SUMIF('USCG Summary'!$A$25:$A$50,A421,'USCG Summary'!$D$25:$D$50)/3.2808^2</f>
        <v>0</v>
      </c>
      <c r="X421" s="153">
        <f>SUMIF('USCG Summary'!$A$25:$A$50,A421,'USCG Summary'!$I$25:$I$50)/3.2808^2</f>
        <v>0</v>
      </c>
      <c r="Y421" s="153">
        <f>SUMIF('USCG Summary'!$A$25:$A$50,A421,'USCG Summary'!$L$25:$L$50)/3.2808^2</f>
        <v>0</v>
      </c>
      <c r="Z421" s="153">
        <f>SUMIF('USCG Summary'!$A$25:$A$50,A421,'USCG Summary'!$O$25:$O$50)/3.2808^2</f>
        <v>0</v>
      </c>
      <c r="AA421" s="153">
        <f>SUMIF('USCG Summary'!$A$25:$A$50,A421,'USCG Summary'!$P$25:$P$50)/3.2808^2</f>
        <v>0</v>
      </c>
      <c r="AB421" s="153">
        <f>SUMIF('USCG Summary'!$A$25:$A$50,A421,'USCG Summary'!$Q$25:$Q$50)/3.2808^2</f>
        <v>0</v>
      </c>
      <c r="AC421" s="153">
        <f>SUMIF('USCG Summary'!$A$25:$A$50,A421,'USCG Summary'!$T$25:$T$50)/3.2808^2</f>
        <v>0</v>
      </c>
      <c r="AD421" s="153">
        <f>SUMIF('USCG Summary'!$A$25:$A$50,A421,'USCG Summary'!$W$25:$W$50)/3.2808^2</f>
        <v>0</v>
      </c>
      <c r="AE421" s="153">
        <f>SUMIF('USCG Summary'!$A$25:$A$50,A421,'USCG Summary'!$Z$25:$Z$50)/3.2808^2</f>
        <v>0</v>
      </c>
      <c r="AF421" s="155">
        <f>SUMIF(Comp!$A$75:$A$400,Areas!A421,Comp!$F$75:$F$400)</f>
        <v>0</v>
      </c>
      <c r="AG421" s="155">
        <f>SUMIF(Comp!$A$75:$A$400,Areas!A421,Comp!$G$75:$G$400)</f>
        <v>0</v>
      </c>
      <c r="AH421" s="155"/>
      <c r="AI421" s="155"/>
      <c r="AK421" s="147"/>
    </row>
    <row r="422" spans="1:37" s="148" customFormat="1">
      <c r="A422" s="146" t="s">
        <v>831</v>
      </c>
      <c r="C422" s="147">
        <f t="shared" si="139"/>
        <v>9.0118140459850604</v>
      </c>
      <c r="D422" s="147">
        <f t="shared" si="139"/>
        <v>0</v>
      </c>
      <c r="E422" s="147">
        <f t="shared" si="139"/>
        <v>0</v>
      </c>
      <c r="F422" s="304">
        <f t="shared" si="139"/>
        <v>0</v>
      </c>
      <c r="G422" s="411"/>
      <c r="H422" s="411"/>
      <c r="I422" s="411"/>
      <c r="J422" s="411"/>
      <c r="K422" s="411"/>
      <c r="L422" s="411"/>
      <c r="M422" s="411"/>
      <c r="N422" s="411"/>
      <c r="O422" s="411"/>
      <c r="P422" s="147">
        <f t="shared" si="137"/>
        <v>0</v>
      </c>
      <c r="Q422" s="147">
        <f t="shared" si="138"/>
        <v>0</v>
      </c>
      <c r="S422" s="155">
        <f>SUMIF('Flt III'!D:D,A422,'Flt III'!E:E)/3.2808^2</f>
        <v>9.0118140459850604</v>
      </c>
      <c r="T422" s="155">
        <f>SUMIF('Flt IIa'!A:A,A422,'Flt IIa'!E:E)/3.2808^2</f>
        <v>0</v>
      </c>
      <c r="U422" s="155">
        <f>SUMIF('OPC Des'!A:A,A422,'OPC Des'!F:F)/3.2808^2</f>
        <v>0</v>
      </c>
      <c r="V422" s="155">
        <f>SUMIF('LCS 5'!A:A,A422,'LCS 5'!E:E)</f>
        <v>0</v>
      </c>
      <c r="W422" s="155">
        <f>SUMIF('USCG Summary'!$A$25:$A$50,A422,'USCG Summary'!$D$25:$D$50)/3.2808^2</f>
        <v>0</v>
      </c>
      <c r="X422" s="153">
        <f>SUMIF('USCG Summary'!$A$25:$A$50,A422,'USCG Summary'!$I$25:$I$50)/3.2808^2</f>
        <v>0</v>
      </c>
      <c r="Y422" s="153">
        <f>SUMIF('USCG Summary'!$A$25:$A$50,A422,'USCG Summary'!$L$25:$L$50)/3.2808^2</f>
        <v>0</v>
      </c>
      <c r="Z422" s="153">
        <f>SUMIF('USCG Summary'!$A$25:$A$50,A422,'USCG Summary'!$O$25:$O$50)/3.2808^2</f>
        <v>0</v>
      </c>
      <c r="AA422" s="153">
        <f>SUMIF('USCG Summary'!$A$25:$A$50,A422,'USCG Summary'!$P$25:$P$50)/3.2808^2</f>
        <v>0</v>
      </c>
      <c r="AB422" s="153">
        <f>SUMIF('USCG Summary'!$A$25:$A$50,A422,'USCG Summary'!$Q$25:$Q$50)/3.2808^2</f>
        <v>0</v>
      </c>
      <c r="AC422" s="153">
        <f>SUMIF('USCG Summary'!$A$25:$A$50,A422,'USCG Summary'!$T$25:$T$50)/3.2808^2</f>
        <v>0</v>
      </c>
      <c r="AD422" s="153">
        <f>SUMIF('USCG Summary'!$A$25:$A$50,A422,'USCG Summary'!$W$25:$W$50)/3.2808^2</f>
        <v>0</v>
      </c>
      <c r="AE422" s="153">
        <f>SUMIF('USCG Summary'!$A$25:$A$50,A422,'USCG Summary'!$Z$25:$Z$50)/3.2808^2</f>
        <v>0</v>
      </c>
      <c r="AF422" s="155">
        <f>SUMIF(Comp!$A$75:$A$400,Areas!A422,Comp!$F$75:$F$400)</f>
        <v>0</v>
      </c>
      <c r="AG422" s="155">
        <f>SUMIF(Comp!$A$75:$A$400,Areas!A422,Comp!$G$75:$G$400)</f>
        <v>0</v>
      </c>
      <c r="AH422" s="155"/>
      <c r="AI422" s="155"/>
      <c r="AK422" s="147"/>
    </row>
    <row r="423" spans="1:37" s="148" customFormat="1">
      <c r="A423" s="146">
        <v>3.7112050000000001</v>
      </c>
      <c r="C423" s="147">
        <f t="shared" si="139"/>
        <v>13.564173718699163</v>
      </c>
      <c r="D423" s="147">
        <f t="shared" si="139"/>
        <v>0</v>
      </c>
      <c r="E423" s="147">
        <f t="shared" si="139"/>
        <v>0</v>
      </c>
      <c r="F423" s="304">
        <f t="shared" si="139"/>
        <v>6.79</v>
      </c>
      <c r="G423" s="411"/>
      <c r="H423" s="411"/>
      <c r="I423" s="411"/>
      <c r="J423" s="411"/>
      <c r="K423" s="411"/>
      <c r="L423" s="411"/>
      <c r="M423" s="411"/>
      <c r="N423" s="411"/>
      <c r="O423" s="411"/>
      <c r="P423" s="147">
        <f t="shared" si="137"/>
        <v>0</v>
      </c>
      <c r="Q423" s="147">
        <f t="shared" si="138"/>
        <v>0</v>
      </c>
      <c r="S423" s="155">
        <f>SUMIF('Flt III'!D:D,A423,'Flt III'!E:E)/3.2808^2</f>
        <v>13.564173718699163</v>
      </c>
      <c r="T423" s="155">
        <f>SUMIF('Flt IIa'!A:A,A423,'Flt IIa'!E:E)/3.2808^2</f>
        <v>0</v>
      </c>
      <c r="U423" s="155">
        <f>SUMIF('OPC Des'!A:A,A423,'OPC Des'!F:F)/3.2808^2</f>
        <v>0</v>
      </c>
      <c r="V423" s="155">
        <f>SUMIF('LCS 5'!A:A,A423,'LCS 5'!E:E)</f>
        <v>6.79</v>
      </c>
      <c r="W423" s="155">
        <f>SUMIF('USCG Summary'!$A$25:$A$50,A423,'USCG Summary'!$D$25:$D$50)/3.2808^2</f>
        <v>0</v>
      </c>
      <c r="X423" s="153">
        <f>SUMIF('USCG Summary'!$A$25:$A$50,A423,'USCG Summary'!$I$25:$I$50)/3.2808^2</f>
        <v>0</v>
      </c>
      <c r="Y423" s="153">
        <f>SUMIF('USCG Summary'!$A$25:$A$50,A423,'USCG Summary'!$L$25:$L$50)/3.2808^2</f>
        <v>0</v>
      </c>
      <c r="Z423" s="153">
        <f>SUMIF('USCG Summary'!$A$25:$A$50,A423,'USCG Summary'!$O$25:$O$50)/3.2808^2</f>
        <v>0</v>
      </c>
      <c r="AA423" s="153">
        <f>SUMIF('USCG Summary'!$A$25:$A$50,A423,'USCG Summary'!$P$25:$P$50)/3.2808^2</f>
        <v>0</v>
      </c>
      <c r="AB423" s="153">
        <f>SUMIF('USCG Summary'!$A$25:$A$50,A423,'USCG Summary'!$Q$25:$Q$50)/3.2808^2</f>
        <v>0</v>
      </c>
      <c r="AC423" s="153">
        <f>SUMIF('USCG Summary'!$A$25:$A$50,A423,'USCG Summary'!$T$25:$T$50)/3.2808^2</f>
        <v>0</v>
      </c>
      <c r="AD423" s="153">
        <f>SUMIF('USCG Summary'!$A$25:$A$50,A423,'USCG Summary'!$W$25:$W$50)/3.2808^2</f>
        <v>0</v>
      </c>
      <c r="AE423" s="153">
        <f>SUMIF('USCG Summary'!$A$25:$A$50,A423,'USCG Summary'!$Z$25:$Z$50)/3.2808^2</f>
        <v>0</v>
      </c>
      <c r="AF423" s="155">
        <f>SUMIF(Comp!$A$75:$A$400,Areas!A423,Comp!$F$75:$F$400)</f>
        <v>0</v>
      </c>
      <c r="AG423" s="155">
        <f>SUMIF(Comp!$A$75:$A$400,Areas!A423,Comp!$G$75:$G$400)</f>
        <v>0</v>
      </c>
      <c r="AH423" s="155"/>
      <c r="AI423" s="155"/>
      <c r="AK423" s="147"/>
    </row>
    <row r="424" spans="1:37" s="132" customFormat="1">
      <c r="A424" s="142">
        <v>3.7120000000000002</v>
      </c>
      <c r="B424" s="132" t="str">
        <f>Comp!B336</f>
        <v>SPECIAL CLOTHING</v>
      </c>
      <c r="C424" s="143">
        <f>SUM(C425)</f>
        <v>9.5692458426439302</v>
      </c>
      <c r="D424" s="143">
        <f>T424</f>
        <v>9.5692458426439302</v>
      </c>
      <c r="E424" s="143">
        <f>U424</f>
        <v>0</v>
      </c>
      <c r="F424" s="143">
        <f>V424</f>
        <v>0</v>
      </c>
      <c r="G424" s="410"/>
      <c r="H424" s="410"/>
      <c r="I424" s="410"/>
      <c r="J424" s="410"/>
      <c r="K424" s="410"/>
      <c r="L424" s="410"/>
      <c r="M424" s="410"/>
      <c r="N424" s="410"/>
      <c r="O424" s="410"/>
      <c r="P424" s="143">
        <f t="shared" si="137"/>
        <v>13.6</v>
      </c>
      <c r="Q424" s="143">
        <f t="shared" si="138"/>
        <v>13.6</v>
      </c>
      <c r="S424" s="154">
        <f>SUMIF('Flt III'!D:D,A424,'Flt III'!E:E)/3.2808^2</f>
        <v>0</v>
      </c>
      <c r="T424" s="154">
        <f>SUMIF('Flt IIa'!A:A,A424,'Flt IIa'!E:E)/3.2808^2</f>
        <v>9.5692458426439302</v>
      </c>
      <c r="U424" s="154">
        <f>SUMIF('OPC Des'!A:A,A424,'OPC Des'!F:F)/3.2808^2</f>
        <v>0</v>
      </c>
      <c r="V424" s="154">
        <f>SUMIF('LCS 5'!A:A,A424,'LCS 5'!E:E)</f>
        <v>0</v>
      </c>
      <c r="W424" s="154">
        <f>SUMIF('USCG Summary'!$A$25:$A$50,A424,'USCG Summary'!$D$25:$D$50)/3.2808^2</f>
        <v>0</v>
      </c>
      <c r="X424" s="153">
        <f>SUMIF('USCG Summary'!$A$25:$A$50,A424,'USCG Summary'!$I$25:$I$50)/3.2808^2</f>
        <v>0</v>
      </c>
      <c r="Y424" s="153">
        <f>SUMIF('USCG Summary'!$A$25:$A$50,A424,'USCG Summary'!$L$25:$L$50)/3.2808^2</f>
        <v>0</v>
      </c>
      <c r="Z424" s="153">
        <f>SUMIF('USCG Summary'!$A$25:$A$50,A424,'USCG Summary'!$O$25:$O$50)/3.2808^2</f>
        <v>0</v>
      </c>
      <c r="AA424" s="153">
        <f>SUMIF('USCG Summary'!$A$25:$A$50,A424,'USCG Summary'!$P$25:$P$50)/3.2808^2</f>
        <v>0</v>
      </c>
      <c r="AB424" s="153">
        <f>SUMIF('USCG Summary'!$A$25:$A$50,A424,'USCG Summary'!$Q$25:$Q$50)/3.2808^2</f>
        <v>0</v>
      </c>
      <c r="AC424" s="153">
        <f>SUMIF('USCG Summary'!$A$25:$A$50,A424,'USCG Summary'!$T$25:$T$50)/3.2808^2</f>
        <v>0</v>
      </c>
      <c r="AD424" s="153">
        <f>SUMIF('USCG Summary'!$A$25:$A$50,A424,'USCG Summary'!$W$25:$W$50)/3.2808^2</f>
        <v>0</v>
      </c>
      <c r="AE424" s="153">
        <f>SUMIF('USCG Summary'!$A$25:$A$50,A424,'USCG Summary'!$Z$25:$Z$50)/3.2808^2</f>
        <v>0</v>
      </c>
      <c r="AF424" s="154">
        <f>SUMIF(Comp!$A$75:$A$400,Areas!A424,Comp!$F$75:$F$400)</f>
        <v>13.6</v>
      </c>
      <c r="AG424" s="154">
        <f>SUMIF(Comp!$A$75:$A$400,Areas!A424,Comp!$G$75:$G$400)</f>
        <v>13.6</v>
      </c>
      <c r="AH424" s="154"/>
      <c r="AI424" s="154"/>
      <c r="AK424" s="143"/>
    </row>
    <row r="425" spans="1:37" s="148" customFormat="1">
      <c r="A425" s="146" t="s">
        <v>823</v>
      </c>
      <c r="C425" s="147">
        <f t="shared" ref="C425:F425" si="140">S425</f>
        <v>9.5692458426439302</v>
      </c>
      <c r="D425" s="147">
        <f t="shared" si="140"/>
        <v>0</v>
      </c>
      <c r="E425" s="147">
        <f t="shared" si="140"/>
        <v>0</v>
      </c>
      <c r="F425" s="147">
        <f t="shared" si="140"/>
        <v>0</v>
      </c>
      <c r="G425" s="411"/>
      <c r="H425" s="411"/>
      <c r="I425" s="411"/>
      <c r="J425" s="411"/>
      <c r="K425" s="411"/>
      <c r="L425" s="411"/>
      <c r="M425" s="411"/>
      <c r="N425" s="411"/>
      <c r="O425" s="411"/>
      <c r="P425" s="147">
        <f t="shared" si="137"/>
        <v>0</v>
      </c>
      <c r="Q425" s="147">
        <f t="shared" si="138"/>
        <v>0</v>
      </c>
      <c r="S425" s="155">
        <f>SUMIF('Flt III'!D:D,A425,'Flt III'!E:E)/3.2808^2</f>
        <v>9.5692458426439302</v>
      </c>
      <c r="T425" s="155">
        <f>SUMIF('Flt IIa'!A:A,A425,'Flt IIa'!E:E)/3.2808^2</f>
        <v>0</v>
      </c>
      <c r="U425" s="155">
        <f>SUMIF('OPC Des'!A:A,A425,'OPC Des'!F:F)/3.2808^2</f>
        <v>0</v>
      </c>
      <c r="V425" s="155">
        <f>SUMIF('LCS 5'!A:A,A425,'LCS 5'!E:E)</f>
        <v>0</v>
      </c>
      <c r="W425" s="155">
        <f>SUMIF('USCG Summary'!$A$25:$A$50,A425,'USCG Summary'!$D$25:$D$50)/3.2808^2</f>
        <v>0</v>
      </c>
      <c r="X425" s="153">
        <f>SUMIF('USCG Summary'!$A$25:$A$50,A425,'USCG Summary'!$I$25:$I$50)/3.2808^2</f>
        <v>0</v>
      </c>
      <c r="Y425" s="153">
        <f>SUMIF('USCG Summary'!$A$25:$A$50,A425,'USCG Summary'!$L$25:$L$50)/3.2808^2</f>
        <v>0</v>
      </c>
      <c r="Z425" s="153">
        <f>SUMIF('USCG Summary'!$A$25:$A$50,A425,'USCG Summary'!$O$25:$O$50)/3.2808^2</f>
        <v>0</v>
      </c>
      <c r="AA425" s="153">
        <f>SUMIF('USCG Summary'!$A$25:$A$50,A425,'USCG Summary'!$P$25:$P$50)/3.2808^2</f>
        <v>0</v>
      </c>
      <c r="AB425" s="153">
        <f>SUMIF('USCG Summary'!$A$25:$A$50,A425,'USCG Summary'!$Q$25:$Q$50)/3.2808^2</f>
        <v>0</v>
      </c>
      <c r="AC425" s="153">
        <f>SUMIF('USCG Summary'!$A$25:$A$50,A425,'USCG Summary'!$T$25:$T$50)/3.2808^2</f>
        <v>0</v>
      </c>
      <c r="AD425" s="153">
        <f>SUMIF('USCG Summary'!$A$25:$A$50,A425,'USCG Summary'!$W$25:$W$50)/3.2808^2</f>
        <v>0</v>
      </c>
      <c r="AE425" s="153">
        <f>SUMIF('USCG Summary'!$A$25:$A$50,A425,'USCG Summary'!$Z$25:$Z$50)/3.2808^2</f>
        <v>0</v>
      </c>
      <c r="AF425" s="155">
        <f>SUMIF(Comp!$A$75:$A$400,Areas!A425,Comp!$F$75:$F$400)</f>
        <v>0</v>
      </c>
      <c r="AG425" s="155">
        <f>SUMIF(Comp!$A$75:$A$400,Areas!A425,Comp!$G$75:$G$400)</f>
        <v>0</v>
      </c>
      <c r="AH425" s="155"/>
      <c r="AI425" s="155"/>
      <c r="AK425" s="147"/>
    </row>
    <row r="426" spans="1:37" s="132" customFormat="1">
      <c r="A426" s="142">
        <v>3.7130000000000001</v>
      </c>
      <c r="B426" s="132" t="str">
        <f>Comp!B337</f>
        <v>GEN USE CONSUM+REPAIR PART</v>
      </c>
      <c r="C426" s="143">
        <f>SUM(C427:C428)</f>
        <v>143.63159293910209</v>
      </c>
      <c r="D426" s="143">
        <f>T426</f>
        <v>159.51839914387989</v>
      </c>
      <c r="E426" s="143">
        <f>U426</f>
        <v>0</v>
      </c>
      <c r="F426" s="143">
        <f>V426</f>
        <v>0</v>
      </c>
      <c r="G426" s="410"/>
      <c r="H426" s="410"/>
      <c r="I426" s="410"/>
      <c r="J426" s="410"/>
      <c r="K426" s="410"/>
      <c r="L426" s="410"/>
      <c r="M426" s="410"/>
      <c r="N426" s="410"/>
      <c r="O426" s="410"/>
      <c r="P426" s="143">
        <f t="shared" si="137"/>
        <v>279.8</v>
      </c>
      <c r="Q426" s="143">
        <f t="shared" si="138"/>
        <v>279.8</v>
      </c>
      <c r="S426" s="154">
        <f>SUMIF('Flt III'!D:D,A426,'Flt III'!E:E)/3.2808^2</f>
        <v>0</v>
      </c>
      <c r="T426" s="154">
        <f>SUMIF('Flt IIa'!A:A,A426,'Flt IIa'!E:E)/3.2808^2</f>
        <v>159.51839914387989</v>
      </c>
      <c r="U426" s="154">
        <f>SUMIF('OPC Des'!A:A,A426,'OPC Des'!F:F)/3.2808^2</f>
        <v>0</v>
      </c>
      <c r="V426" s="154">
        <f>SUMIF('LCS 5'!A:A,A426,'LCS 5'!E:E)</f>
        <v>0</v>
      </c>
      <c r="W426" s="154">
        <f>SUMIF('USCG Summary'!$A$25:$A$50,A426,'USCG Summary'!$D$25:$D$50)/3.2808^2</f>
        <v>0</v>
      </c>
      <c r="X426" s="153">
        <f>SUMIF('USCG Summary'!$A$25:$A$50,A426,'USCG Summary'!$I$25:$I$50)/3.2808^2</f>
        <v>0</v>
      </c>
      <c r="Y426" s="153">
        <f>SUMIF('USCG Summary'!$A$25:$A$50,A426,'USCG Summary'!$L$25:$L$50)/3.2808^2</f>
        <v>0</v>
      </c>
      <c r="Z426" s="153">
        <f>SUMIF('USCG Summary'!$A$25:$A$50,A426,'USCG Summary'!$O$25:$O$50)/3.2808^2</f>
        <v>0</v>
      </c>
      <c r="AA426" s="153">
        <f>SUMIF('USCG Summary'!$A$25:$A$50,A426,'USCG Summary'!$P$25:$P$50)/3.2808^2</f>
        <v>0</v>
      </c>
      <c r="AB426" s="153">
        <f>SUMIF('USCG Summary'!$A$25:$A$50,A426,'USCG Summary'!$Q$25:$Q$50)/3.2808^2</f>
        <v>0</v>
      </c>
      <c r="AC426" s="153">
        <f>SUMIF('USCG Summary'!$A$25:$A$50,A426,'USCG Summary'!$T$25:$T$50)/3.2808^2</f>
        <v>0</v>
      </c>
      <c r="AD426" s="153">
        <f>SUMIF('USCG Summary'!$A$25:$A$50,A426,'USCG Summary'!$W$25:$W$50)/3.2808^2</f>
        <v>0</v>
      </c>
      <c r="AE426" s="153">
        <f>SUMIF('USCG Summary'!$A$25:$A$50,A426,'USCG Summary'!$Z$25:$Z$50)/3.2808^2</f>
        <v>0</v>
      </c>
      <c r="AF426" s="154">
        <f>SUMIF(Comp!$A$75:$A$400,Areas!A426,Comp!$F$75:$F$400)</f>
        <v>279.8</v>
      </c>
      <c r="AG426" s="154">
        <f>SUMIF(Comp!$A$75:$A$400,Areas!A426,Comp!$G$75:$G$400)</f>
        <v>279.8</v>
      </c>
      <c r="AH426" s="154"/>
      <c r="AI426" s="154"/>
      <c r="AK426" s="143"/>
    </row>
    <row r="427" spans="1:37" s="148" customFormat="1">
      <c r="A427" s="146" t="s">
        <v>814</v>
      </c>
      <c r="C427" s="147">
        <f t="shared" ref="C427:F429" si="141">S427</f>
        <v>142.79544524411378</v>
      </c>
      <c r="D427" s="147">
        <f t="shared" si="141"/>
        <v>0</v>
      </c>
      <c r="E427" s="147">
        <f t="shared" si="141"/>
        <v>0</v>
      </c>
      <c r="F427" s="147">
        <f t="shared" si="141"/>
        <v>0</v>
      </c>
      <c r="G427" s="411"/>
      <c r="H427" s="411"/>
      <c r="I427" s="411"/>
      <c r="J427" s="411"/>
      <c r="K427" s="411"/>
      <c r="L427" s="411"/>
      <c r="M427" s="411"/>
      <c r="N427" s="411"/>
      <c r="O427" s="411"/>
      <c r="P427" s="147">
        <f t="shared" si="137"/>
        <v>0</v>
      </c>
      <c r="Q427" s="147">
        <f t="shared" si="138"/>
        <v>0</v>
      </c>
      <c r="S427" s="155">
        <f>SUMIF('Flt III'!D:D,A427,'Flt III'!E:E)/3.2808^2</f>
        <v>142.79544524411378</v>
      </c>
      <c r="T427" s="155">
        <f>SUMIF('Flt IIa'!A:A,A427,'Flt IIa'!E:E)/3.2808^2</f>
        <v>0</v>
      </c>
      <c r="U427" s="155">
        <f>SUMIF('OPC Des'!A:A,A427,'OPC Des'!F:F)/3.2808^2</f>
        <v>0</v>
      </c>
      <c r="V427" s="155">
        <f>SUMIF('LCS 5'!A:A,A427,'LCS 5'!E:E)</f>
        <v>0</v>
      </c>
      <c r="W427" s="155">
        <f>SUMIF('USCG Summary'!$A$25:$A$50,A427,'USCG Summary'!$D$25:$D$50)/3.2808^2</f>
        <v>0</v>
      </c>
      <c r="X427" s="153">
        <f>SUMIF('USCG Summary'!$A$25:$A$50,A427,'USCG Summary'!$I$25:$I$50)/3.2808^2</f>
        <v>0</v>
      </c>
      <c r="Y427" s="153">
        <f>SUMIF('USCG Summary'!$A$25:$A$50,A427,'USCG Summary'!$L$25:$L$50)/3.2808^2</f>
        <v>0</v>
      </c>
      <c r="Z427" s="153">
        <f>SUMIF('USCG Summary'!$A$25:$A$50,A427,'USCG Summary'!$O$25:$O$50)/3.2808^2</f>
        <v>0</v>
      </c>
      <c r="AA427" s="153">
        <f>SUMIF('USCG Summary'!$A$25:$A$50,A427,'USCG Summary'!$P$25:$P$50)/3.2808^2</f>
        <v>0</v>
      </c>
      <c r="AB427" s="153">
        <f>SUMIF('USCG Summary'!$A$25:$A$50,A427,'USCG Summary'!$Q$25:$Q$50)/3.2808^2</f>
        <v>0</v>
      </c>
      <c r="AC427" s="153">
        <f>SUMIF('USCG Summary'!$A$25:$A$50,A427,'USCG Summary'!$T$25:$T$50)/3.2808^2</f>
        <v>0</v>
      </c>
      <c r="AD427" s="153">
        <f>SUMIF('USCG Summary'!$A$25:$A$50,A427,'USCG Summary'!$W$25:$W$50)/3.2808^2</f>
        <v>0</v>
      </c>
      <c r="AE427" s="153">
        <f>SUMIF('USCG Summary'!$A$25:$A$50,A427,'USCG Summary'!$Z$25:$Z$50)/3.2808^2</f>
        <v>0</v>
      </c>
      <c r="AF427" s="155">
        <f>SUMIF(Comp!$A$75:$A$400,Areas!A427,Comp!$F$75:$F$400)</f>
        <v>0</v>
      </c>
      <c r="AG427" s="155">
        <f>SUMIF(Comp!$A$75:$A$400,Areas!A427,Comp!$G$75:$G$400)</f>
        <v>0</v>
      </c>
      <c r="AH427" s="155"/>
      <c r="AI427" s="155"/>
      <c r="AK427" s="147"/>
    </row>
    <row r="428" spans="1:37" s="148" customFormat="1">
      <c r="A428" s="146">
        <v>3.7131090000000002</v>
      </c>
      <c r="C428" s="147">
        <f t="shared" si="141"/>
        <v>0.83614769498830455</v>
      </c>
      <c r="D428" s="147">
        <f t="shared" si="141"/>
        <v>0</v>
      </c>
      <c r="E428" s="147">
        <f t="shared" si="141"/>
        <v>0</v>
      </c>
      <c r="F428" s="147">
        <f t="shared" si="141"/>
        <v>0</v>
      </c>
      <c r="G428" s="411"/>
      <c r="H428" s="411"/>
      <c r="I428" s="411"/>
      <c r="J428" s="411"/>
      <c r="K428" s="411"/>
      <c r="L428" s="411"/>
      <c r="M428" s="411"/>
      <c r="N428" s="411"/>
      <c r="O428" s="411"/>
      <c r="P428" s="147">
        <f t="shared" si="137"/>
        <v>0</v>
      </c>
      <c r="Q428" s="147">
        <f t="shared" si="138"/>
        <v>0</v>
      </c>
      <c r="S428" s="155">
        <f>SUMIF('Flt III'!D:D,A428,'Flt III'!E:E)/3.2808^2</f>
        <v>0.83614769498830455</v>
      </c>
      <c r="T428" s="155">
        <f>SUMIF('Flt IIa'!A:A,A428,'Flt IIa'!E:E)/3.2808^2</f>
        <v>0</v>
      </c>
      <c r="U428" s="155">
        <f>SUMIF('OPC Des'!A:A,A428,'OPC Des'!F:F)/3.2808^2</f>
        <v>0</v>
      </c>
      <c r="V428" s="155">
        <f>SUMIF('LCS 5'!A:A,A428,'LCS 5'!E:E)</f>
        <v>0</v>
      </c>
      <c r="W428" s="155">
        <f>SUMIF('USCG Summary'!$A$25:$A$50,A428,'USCG Summary'!$D$25:$D$50)/3.2808^2</f>
        <v>0</v>
      </c>
      <c r="X428" s="153">
        <f>SUMIF('USCG Summary'!$A$25:$A$50,A428,'USCG Summary'!$I$25:$I$50)/3.2808^2</f>
        <v>0</v>
      </c>
      <c r="Y428" s="153">
        <f>SUMIF('USCG Summary'!$A$25:$A$50,A428,'USCG Summary'!$L$25:$L$50)/3.2808^2</f>
        <v>0</v>
      </c>
      <c r="Z428" s="153">
        <f>SUMIF('USCG Summary'!$A$25:$A$50,A428,'USCG Summary'!$O$25:$O$50)/3.2808^2</f>
        <v>0</v>
      </c>
      <c r="AA428" s="153">
        <f>SUMIF('USCG Summary'!$A$25:$A$50,A428,'USCG Summary'!$P$25:$P$50)/3.2808^2</f>
        <v>0</v>
      </c>
      <c r="AB428" s="153">
        <f>SUMIF('USCG Summary'!$A$25:$A$50,A428,'USCG Summary'!$Q$25:$Q$50)/3.2808^2</f>
        <v>0</v>
      </c>
      <c r="AC428" s="153">
        <f>SUMIF('USCG Summary'!$A$25:$A$50,A428,'USCG Summary'!$T$25:$T$50)/3.2808^2</f>
        <v>0</v>
      </c>
      <c r="AD428" s="153">
        <f>SUMIF('USCG Summary'!$A$25:$A$50,A428,'USCG Summary'!$W$25:$W$50)/3.2808^2</f>
        <v>0</v>
      </c>
      <c r="AE428" s="153">
        <f>SUMIF('USCG Summary'!$A$25:$A$50,A428,'USCG Summary'!$Z$25:$Z$50)/3.2808^2</f>
        <v>0</v>
      </c>
      <c r="AF428" s="155">
        <f>SUMIF(Comp!$A$75:$A$400,Areas!A428,Comp!$F$75:$F$400)</f>
        <v>0</v>
      </c>
      <c r="AG428" s="155">
        <f>SUMIF(Comp!$A$75:$A$400,Areas!A428,Comp!$G$75:$G$400)</f>
        <v>0</v>
      </c>
      <c r="AH428" s="155"/>
      <c r="AI428" s="155"/>
      <c r="AK428" s="147"/>
    </row>
    <row r="429" spans="1:37" s="132" customFormat="1">
      <c r="A429" s="142">
        <v>3.714</v>
      </c>
      <c r="B429" s="132" t="str">
        <f>Comp!B338</f>
        <v>SHIP STORE STORES</v>
      </c>
      <c r="C429" s="143">
        <f t="shared" si="141"/>
        <v>0</v>
      </c>
      <c r="D429" s="143">
        <f t="shared" si="141"/>
        <v>0</v>
      </c>
      <c r="E429" s="143">
        <f t="shared" si="141"/>
        <v>0</v>
      </c>
      <c r="F429" s="143">
        <f t="shared" si="141"/>
        <v>0</v>
      </c>
      <c r="G429" s="410"/>
      <c r="H429" s="410"/>
      <c r="I429" s="410"/>
      <c r="J429" s="410"/>
      <c r="K429" s="410"/>
      <c r="L429" s="410"/>
      <c r="M429" s="410"/>
      <c r="N429" s="410"/>
      <c r="O429" s="410"/>
      <c r="P429" s="143">
        <f t="shared" si="137"/>
        <v>11.1</v>
      </c>
      <c r="Q429" s="143">
        <f t="shared" si="138"/>
        <v>11.1</v>
      </c>
      <c r="S429" s="154">
        <f>SUMIF('Flt III'!D:D,A429,'Flt III'!E:E)/3.2808^2</f>
        <v>0</v>
      </c>
      <c r="T429" s="154">
        <f>SUMIF('Flt IIa'!A:A,A429,'Flt IIa'!E:E)/3.2808^2</f>
        <v>0</v>
      </c>
      <c r="U429" s="154">
        <f>SUMIF('OPC Des'!A:A,A429,'OPC Des'!F:F)/3.2808^2</f>
        <v>0</v>
      </c>
      <c r="V429" s="154">
        <f>SUMIF('LCS 5'!A:A,A429,'LCS 5'!E:E)</f>
        <v>0</v>
      </c>
      <c r="W429" s="154">
        <f>SUMIF('USCG Summary'!$A$25:$A$50,A429,'USCG Summary'!$D$25:$D$50)/3.2808^2</f>
        <v>0</v>
      </c>
      <c r="X429" s="153">
        <f>SUMIF('USCG Summary'!$A$25:$A$50,A429,'USCG Summary'!$I$25:$I$50)/3.2808^2</f>
        <v>0</v>
      </c>
      <c r="Y429" s="153">
        <f>SUMIF('USCG Summary'!$A$25:$A$50,A429,'USCG Summary'!$L$25:$L$50)/3.2808^2</f>
        <v>0</v>
      </c>
      <c r="Z429" s="153">
        <f>SUMIF('USCG Summary'!$A$25:$A$50,A429,'USCG Summary'!$O$25:$O$50)/3.2808^2</f>
        <v>0</v>
      </c>
      <c r="AA429" s="153">
        <f>SUMIF('USCG Summary'!$A$25:$A$50,A429,'USCG Summary'!$P$25:$P$50)/3.2808^2</f>
        <v>0</v>
      </c>
      <c r="AB429" s="153">
        <f>SUMIF('USCG Summary'!$A$25:$A$50,A429,'USCG Summary'!$Q$25:$Q$50)/3.2808^2</f>
        <v>0</v>
      </c>
      <c r="AC429" s="153">
        <f>SUMIF('USCG Summary'!$A$25:$A$50,A429,'USCG Summary'!$T$25:$T$50)/3.2808^2</f>
        <v>0</v>
      </c>
      <c r="AD429" s="153">
        <f>SUMIF('USCG Summary'!$A$25:$A$50,A429,'USCG Summary'!$W$25:$W$50)/3.2808^2</f>
        <v>0</v>
      </c>
      <c r="AE429" s="153">
        <f>SUMIF('USCG Summary'!$A$25:$A$50,A429,'USCG Summary'!$Z$25:$Z$50)/3.2808^2</f>
        <v>0</v>
      </c>
      <c r="AF429" s="154">
        <f>SUMIF(Comp!$A$75:$A$400,Areas!A429,Comp!$F$75:$F$400)</f>
        <v>11.1</v>
      </c>
      <c r="AG429" s="154">
        <f>SUMIF(Comp!$A$75:$A$400,Areas!A429,Comp!$G$75:$G$400)</f>
        <v>11.1</v>
      </c>
      <c r="AH429" s="154"/>
      <c r="AI429" s="154"/>
      <c r="AK429" s="143"/>
    </row>
    <row r="430" spans="1:37" s="132" customFormat="1">
      <c r="A430" s="142">
        <v>3.7149999999999999</v>
      </c>
      <c r="B430" s="132" t="str">
        <f>Comp!B339</f>
        <v>STORES HANDLING</v>
      </c>
      <c r="C430" s="143">
        <f>SUM(C431:C432)</f>
        <v>28.336116330159211</v>
      </c>
      <c r="D430" s="143">
        <f>T430</f>
        <v>28.336116330159211</v>
      </c>
      <c r="E430" s="143">
        <f>U430</f>
        <v>0</v>
      </c>
      <c r="F430" s="143">
        <f>V430</f>
        <v>0</v>
      </c>
      <c r="G430" s="410"/>
      <c r="H430" s="410"/>
      <c r="I430" s="410"/>
      <c r="J430" s="410"/>
      <c r="K430" s="410"/>
      <c r="L430" s="410"/>
      <c r="M430" s="410"/>
      <c r="N430" s="410"/>
      <c r="O430" s="410"/>
      <c r="P430" s="143">
        <f t="shared" si="137"/>
        <v>48.1</v>
      </c>
      <c r="Q430" s="143">
        <f t="shared" si="138"/>
        <v>48.1</v>
      </c>
      <c r="S430" s="154">
        <f>SUMIF('Flt III'!D:D,A430,'Flt III'!E:E)/3.2808^2</f>
        <v>0</v>
      </c>
      <c r="T430" s="154">
        <f>SUMIF('Flt IIa'!A:A,A430,'Flt IIa'!E:E)/3.2808^2</f>
        <v>28.336116330159211</v>
      </c>
      <c r="U430" s="154">
        <f>SUMIF('OPC Des'!A:A,A430,'OPC Des'!F:F)/3.2808^2</f>
        <v>0</v>
      </c>
      <c r="V430" s="154">
        <f>SUMIF('LCS 5'!A:A,A430,'LCS 5'!E:E)</f>
        <v>0</v>
      </c>
      <c r="W430" s="154">
        <f>SUMIF('USCG Summary'!$A$25:$A$50,A430,'USCG Summary'!$D$25:$D$50)/3.2808^2</f>
        <v>0</v>
      </c>
      <c r="X430" s="153">
        <f>SUMIF('USCG Summary'!$A$25:$A$50,A430,'USCG Summary'!$I$25:$I$50)/3.2808^2</f>
        <v>0</v>
      </c>
      <c r="Y430" s="153">
        <f>SUMIF('USCG Summary'!$A$25:$A$50,A430,'USCG Summary'!$L$25:$L$50)/3.2808^2</f>
        <v>0</v>
      </c>
      <c r="Z430" s="153">
        <f>SUMIF('USCG Summary'!$A$25:$A$50,A430,'USCG Summary'!$O$25:$O$50)/3.2808^2</f>
        <v>0</v>
      </c>
      <c r="AA430" s="153">
        <f>SUMIF('USCG Summary'!$A$25:$A$50,A430,'USCG Summary'!$P$25:$P$50)/3.2808^2</f>
        <v>0</v>
      </c>
      <c r="AB430" s="153">
        <f>SUMIF('USCG Summary'!$A$25:$A$50,A430,'USCG Summary'!$Q$25:$Q$50)/3.2808^2</f>
        <v>0</v>
      </c>
      <c r="AC430" s="153">
        <f>SUMIF('USCG Summary'!$A$25:$A$50,A430,'USCG Summary'!$T$25:$T$50)/3.2808^2</f>
        <v>0</v>
      </c>
      <c r="AD430" s="153">
        <f>SUMIF('USCG Summary'!$A$25:$A$50,A430,'USCG Summary'!$W$25:$W$50)/3.2808^2</f>
        <v>0</v>
      </c>
      <c r="AE430" s="153">
        <f>SUMIF('USCG Summary'!$A$25:$A$50,A430,'USCG Summary'!$Z$25:$Z$50)/3.2808^2</f>
        <v>0</v>
      </c>
      <c r="AF430" s="154">
        <f>SUMIF(Comp!$A$75:$A$400,Areas!A430,Comp!$F$75:$F$400)</f>
        <v>48.1</v>
      </c>
      <c r="AG430" s="154">
        <f>SUMIF(Comp!$A$75:$A$400,Areas!A430,Comp!$G$75:$G$400)</f>
        <v>48.1</v>
      </c>
      <c r="AH430" s="154"/>
      <c r="AI430" s="154"/>
      <c r="AK430" s="143"/>
    </row>
    <row r="431" spans="1:37" s="148" customFormat="1">
      <c r="A431" s="146" t="s">
        <v>809</v>
      </c>
      <c r="B431" s="146"/>
      <c r="C431" s="147">
        <f t="shared" ref="C431:F432" si="142">S431</f>
        <v>26.756726239625745</v>
      </c>
      <c r="D431" s="147">
        <f t="shared" si="142"/>
        <v>0</v>
      </c>
      <c r="E431" s="147">
        <f t="shared" si="142"/>
        <v>0</v>
      </c>
      <c r="F431" s="147">
        <f t="shared" si="142"/>
        <v>0</v>
      </c>
      <c r="G431" s="411"/>
      <c r="H431" s="411"/>
      <c r="I431" s="411"/>
      <c r="J431" s="411"/>
      <c r="K431" s="411"/>
      <c r="L431" s="411"/>
      <c r="M431" s="411"/>
      <c r="N431" s="411"/>
      <c r="O431" s="411"/>
      <c r="P431" s="147">
        <f t="shared" si="137"/>
        <v>0</v>
      </c>
      <c r="Q431" s="147">
        <f t="shared" si="138"/>
        <v>0</v>
      </c>
      <c r="S431" s="155">
        <f>SUMIF('Flt III'!D:D,A431,'Flt III'!E:E)/3.2808^2</f>
        <v>26.756726239625745</v>
      </c>
      <c r="T431" s="155">
        <f>SUMIF('Flt IIa'!A:A,A431,'Flt IIa'!E:E)/3.2808^2</f>
        <v>0</v>
      </c>
      <c r="U431" s="155">
        <f>SUMIF('OPC Des'!A:A,A431,'OPC Des'!F:F)/3.2808^2</f>
        <v>0</v>
      </c>
      <c r="V431" s="155">
        <f>SUMIF('LCS 5'!A:A,A431,'LCS 5'!E:E)</f>
        <v>0</v>
      </c>
      <c r="W431" s="155">
        <f>SUMIF('USCG Summary'!$A$25:$A$50,A431,'USCG Summary'!$D$25:$D$50)/3.2808^2</f>
        <v>0</v>
      </c>
      <c r="X431" s="153">
        <f>SUMIF('USCG Summary'!$A$25:$A$50,A431,'USCG Summary'!$I$25:$I$50)/3.2808^2</f>
        <v>0</v>
      </c>
      <c r="Y431" s="153">
        <f>SUMIF('USCG Summary'!$A$25:$A$50,A431,'USCG Summary'!$L$25:$L$50)/3.2808^2</f>
        <v>0</v>
      </c>
      <c r="Z431" s="153">
        <f>SUMIF('USCG Summary'!$A$25:$A$50,A431,'USCG Summary'!$O$25:$O$50)/3.2808^2</f>
        <v>0</v>
      </c>
      <c r="AA431" s="153">
        <f>SUMIF('USCG Summary'!$A$25:$A$50,A431,'USCG Summary'!$P$25:$P$50)/3.2808^2</f>
        <v>0</v>
      </c>
      <c r="AB431" s="153">
        <f>SUMIF('USCG Summary'!$A$25:$A$50,A431,'USCG Summary'!$Q$25:$Q$50)/3.2808^2</f>
        <v>0</v>
      </c>
      <c r="AC431" s="153">
        <f>SUMIF('USCG Summary'!$A$25:$A$50,A431,'USCG Summary'!$T$25:$T$50)/3.2808^2</f>
        <v>0</v>
      </c>
      <c r="AD431" s="153">
        <f>SUMIF('USCG Summary'!$A$25:$A$50,A431,'USCG Summary'!$W$25:$W$50)/3.2808^2</f>
        <v>0</v>
      </c>
      <c r="AE431" s="153">
        <f>SUMIF('USCG Summary'!$A$25:$A$50,A431,'USCG Summary'!$Z$25:$Z$50)/3.2808^2</f>
        <v>0</v>
      </c>
      <c r="AF431" s="155">
        <f>SUMIF(Comp!$A$75:$A$400,Areas!A431,Comp!$F$75:$F$400)</f>
        <v>0</v>
      </c>
      <c r="AG431" s="155">
        <f>SUMIF(Comp!$A$75:$A$400,Areas!A431,Comp!$G$75:$G$400)</f>
        <v>0</v>
      </c>
      <c r="AH431" s="155"/>
      <c r="AI431" s="155"/>
      <c r="AK431" s="147"/>
    </row>
    <row r="432" spans="1:37" s="148" customFormat="1">
      <c r="A432" s="146" t="s">
        <v>806</v>
      </c>
      <c r="B432" s="146"/>
      <c r="C432" s="147">
        <f t="shared" si="142"/>
        <v>1.5793900905334641</v>
      </c>
      <c r="D432" s="147">
        <f t="shared" si="142"/>
        <v>0</v>
      </c>
      <c r="E432" s="147">
        <f t="shared" si="142"/>
        <v>0</v>
      </c>
      <c r="F432" s="147">
        <f t="shared" si="142"/>
        <v>0</v>
      </c>
      <c r="G432" s="411"/>
      <c r="H432" s="411"/>
      <c r="I432" s="411"/>
      <c r="J432" s="411"/>
      <c r="K432" s="411"/>
      <c r="L432" s="411"/>
      <c r="M432" s="411"/>
      <c r="N432" s="411"/>
      <c r="O432" s="411"/>
      <c r="P432" s="147">
        <f t="shared" si="137"/>
        <v>0</v>
      </c>
      <c r="Q432" s="147">
        <f t="shared" si="138"/>
        <v>0</v>
      </c>
      <c r="S432" s="155">
        <f>SUMIF('Flt III'!D:D,A432,'Flt III'!E:E)/3.2808^2</f>
        <v>1.5793900905334641</v>
      </c>
      <c r="T432" s="155">
        <f>SUMIF('Flt IIa'!A:A,A432,'Flt IIa'!E:E)/3.2808^2</f>
        <v>0</v>
      </c>
      <c r="U432" s="155">
        <f>SUMIF('OPC Des'!A:A,A432,'OPC Des'!F:F)/3.2808^2</f>
        <v>0</v>
      </c>
      <c r="V432" s="155">
        <f>SUMIF('LCS 5'!A:A,A432,'LCS 5'!E:E)</f>
        <v>0</v>
      </c>
      <c r="W432" s="155">
        <f>SUMIF('USCG Summary'!$A$25:$A$50,A432,'USCG Summary'!$D$25:$D$50)/3.2808^2</f>
        <v>0</v>
      </c>
      <c r="X432" s="153">
        <f>SUMIF('USCG Summary'!$A$25:$A$50,A432,'USCG Summary'!$I$25:$I$50)/3.2808^2</f>
        <v>0</v>
      </c>
      <c r="Y432" s="153">
        <f>SUMIF('USCG Summary'!$A$25:$A$50,A432,'USCG Summary'!$L$25:$L$50)/3.2808^2</f>
        <v>0</v>
      </c>
      <c r="Z432" s="153">
        <f>SUMIF('USCG Summary'!$A$25:$A$50,A432,'USCG Summary'!$O$25:$O$50)/3.2808^2</f>
        <v>0</v>
      </c>
      <c r="AA432" s="153">
        <f>SUMIF('USCG Summary'!$A$25:$A$50,A432,'USCG Summary'!$P$25:$P$50)/3.2808^2</f>
        <v>0</v>
      </c>
      <c r="AB432" s="153">
        <f>SUMIF('USCG Summary'!$A$25:$A$50,A432,'USCG Summary'!$Q$25:$Q$50)/3.2808^2</f>
        <v>0</v>
      </c>
      <c r="AC432" s="153">
        <f>SUMIF('USCG Summary'!$A$25:$A$50,A432,'USCG Summary'!$T$25:$T$50)/3.2808^2</f>
        <v>0</v>
      </c>
      <c r="AD432" s="153">
        <f>SUMIF('USCG Summary'!$A$25:$A$50,A432,'USCG Summary'!$W$25:$W$50)/3.2808^2</f>
        <v>0</v>
      </c>
      <c r="AE432" s="153">
        <f>SUMIF('USCG Summary'!$A$25:$A$50,A432,'USCG Summary'!$Z$25:$Z$50)/3.2808^2</f>
        <v>0</v>
      </c>
      <c r="AF432" s="155">
        <f>SUMIF(Comp!$A$75:$A$400,Areas!A432,Comp!$F$75:$F$400)</f>
        <v>0</v>
      </c>
      <c r="AG432" s="155">
        <f>SUMIF(Comp!$A$75:$A$400,Areas!A432,Comp!$G$75:$G$400)</f>
        <v>0</v>
      </c>
      <c r="AH432" s="155"/>
      <c r="AI432" s="155"/>
      <c r="AK432" s="147"/>
    </row>
    <row r="433" spans="1:37" s="134" customFormat="1">
      <c r="A433" s="140">
        <v>3.72</v>
      </c>
      <c r="B433" s="134" t="str">
        <f>Comp!B340</f>
        <v>ENGINEERING DEPT</v>
      </c>
      <c r="C433" s="160">
        <f>SUM(C434)</f>
        <v>4.8310755710435371</v>
      </c>
      <c r="D433" s="160">
        <f>T433</f>
        <v>12.728026023710857</v>
      </c>
      <c r="E433" s="160">
        <f>U433</f>
        <v>0</v>
      </c>
      <c r="F433" s="160">
        <f>V433</f>
        <v>0</v>
      </c>
      <c r="G433" s="414"/>
      <c r="H433" s="414"/>
      <c r="I433" s="414"/>
      <c r="J433" s="414"/>
      <c r="K433" s="414"/>
      <c r="L433" s="414"/>
      <c r="M433" s="414"/>
      <c r="N433" s="414"/>
      <c r="O433" s="414"/>
      <c r="P433" s="160">
        <f t="shared" si="137"/>
        <v>9.1</v>
      </c>
      <c r="Q433" s="160">
        <f t="shared" si="138"/>
        <v>9.1</v>
      </c>
      <c r="S433" s="153">
        <f>SUMIF('Flt III'!D:D,A433,'Flt III'!E:E)/3.2808^2</f>
        <v>0</v>
      </c>
      <c r="T433" s="153">
        <f>SUMIF('Flt IIa'!A:A,A433,'Flt IIa'!E:E)/3.2808^2</f>
        <v>12.728026023710857</v>
      </c>
      <c r="U433" s="153">
        <f>SUMIF('OPC Des'!A:A,A433,'OPC Des'!F:F)/3.2808^2</f>
        <v>0</v>
      </c>
      <c r="V433" s="153">
        <f>SUMIF('LCS 5'!A:A,A433,'LCS 5'!E:E)</f>
        <v>0</v>
      </c>
      <c r="W433" s="153">
        <f>SUMIF('USCG Summary'!$A$25:$A$50,A433,'USCG Summary'!$D$25:$D$50)/3.2808^2</f>
        <v>0</v>
      </c>
      <c r="X433" s="153">
        <f>SUMIF('USCG Summary'!$A$25:$A$50,A433,'USCG Summary'!$I$25:$I$50)/3.2808^2</f>
        <v>0</v>
      </c>
      <c r="Y433" s="153">
        <f>SUMIF('USCG Summary'!$A$25:$A$50,A433,'USCG Summary'!$L$25:$L$50)/3.2808^2</f>
        <v>0</v>
      </c>
      <c r="Z433" s="153">
        <f>SUMIF('USCG Summary'!$A$25:$A$50,A433,'USCG Summary'!$O$25:$O$50)/3.2808^2</f>
        <v>0</v>
      </c>
      <c r="AA433" s="153">
        <f>SUMIF('USCG Summary'!$A$25:$A$50,A433,'USCG Summary'!$P$25:$P$50)/3.2808^2</f>
        <v>0</v>
      </c>
      <c r="AB433" s="153">
        <f>SUMIF('USCG Summary'!$A$25:$A$50,A433,'USCG Summary'!$Q$25:$Q$50)/3.2808^2</f>
        <v>0</v>
      </c>
      <c r="AC433" s="153">
        <f>SUMIF('USCG Summary'!$A$25:$A$50,A433,'USCG Summary'!$T$25:$T$50)/3.2808^2</f>
        <v>0</v>
      </c>
      <c r="AD433" s="153">
        <f>SUMIF('USCG Summary'!$A$25:$A$50,A433,'USCG Summary'!$W$25:$W$50)/3.2808^2</f>
        <v>0</v>
      </c>
      <c r="AE433" s="153">
        <f>SUMIF('USCG Summary'!$A$25:$A$50,A433,'USCG Summary'!$Z$25:$Z$50)/3.2808^2</f>
        <v>0</v>
      </c>
      <c r="AF433" s="153">
        <f>SUMIF(Comp!$A$75:$A$400,Areas!A433,Comp!$F$75:$F$400)</f>
        <v>9.1</v>
      </c>
      <c r="AG433" s="153">
        <f>SUMIF(Comp!$A$75:$A$400,Areas!A433,Comp!$G$75:$G$400)</f>
        <v>9.1</v>
      </c>
      <c r="AH433" s="153"/>
      <c r="AI433" s="153"/>
      <c r="AK433" s="133"/>
    </row>
    <row r="434" spans="1:37" s="148" customFormat="1">
      <c r="A434" s="146" t="s">
        <v>803</v>
      </c>
      <c r="C434" s="147">
        <f t="shared" ref="C434:F434" si="143">S434</f>
        <v>4.8310755710435371</v>
      </c>
      <c r="D434" s="147">
        <f t="shared" si="143"/>
        <v>0</v>
      </c>
      <c r="E434" s="147">
        <f t="shared" si="143"/>
        <v>0</v>
      </c>
      <c r="F434" s="147">
        <f t="shared" si="143"/>
        <v>0</v>
      </c>
      <c r="G434" s="411"/>
      <c r="H434" s="411"/>
      <c r="I434" s="411"/>
      <c r="J434" s="411"/>
      <c r="K434" s="411"/>
      <c r="L434" s="411"/>
      <c r="M434" s="411"/>
      <c r="N434" s="411"/>
      <c r="O434" s="411"/>
      <c r="P434" s="147">
        <f t="shared" si="137"/>
        <v>0</v>
      </c>
      <c r="Q434" s="147">
        <f t="shared" si="138"/>
        <v>0</v>
      </c>
      <c r="S434" s="155">
        <f>SUMIF('Flt III'!D:D,A434,'Flt III'!E:E)/3.2808^2</f>
        <v>4.8310755710435371</v>
      </c>
      <c r="T434" s="155">
        <f>SUMIF('Flt IIa'!A:A,A434,'Flt IIa'!E:E)/3.2808^2</f>
        <v>0</v>
      </c>
      <c r="U434" s="155">
        <f>SUMIF('OPC Des'!A:A,A434,'OPC Des'!F:F)/3.2808^2</f>
        <v>0</v>
      </c>
      <c r="V434" s="155">
        <f>SUMIF('LCS 5'!A:A,A434,'LCS 5'!E:E)</f>
        <v>0</v>
      </c>
      <c r="W434" s="155">
        <f>SUMIF('USCG Summary'!$A$25:$A$50,A434,'USCG Summary'!$D$25:$D$50)/3.2808^2</f>
        <v>0</v>
      </c>
      <c r="X434" s="153">
        <f>SUMIF('USCG Summary'!$A$25:$A$50,A434,'USCG Summary'!$I$25:$I$50)/3.2808^2</f>
        <v>0</v>
      </c>
      <c r="Y434" s="153">
        <f>SUMIF('USCG Summary'!$A$25:$A$50,A434,'USCG Summary'!$L$25:$L$50)/3.2808^2</f>
        <v>0</v>
      </c>
      <c r="Z434" s="153">
        <f>SUMIF('USCG Summary'!$A$25:$A$50,A434,'USCG Summary'!$O$25:$O$50)/3.2808^2</f>
        <v>0</v>
      </c>
      <c r="AA434" s="153">
        <f>SUMIF('USCG Summary'!$A$25:$A$50,A434,'USCG Summary'!$P$25:$P$50)/3.2808^2</f>
        <v>0</v>
      </c>
      <c r="AB434" s="153">
        <f>SUMIF('USCG Summary'!$A$25:$A$50,A434,'USCG Summary'!$Q$25:$Q$50)/3.2808^2</f>
        <v>0</v>
      </c>
      <c r="AC434" s="153">
        <f>SUMIF('USCG Summary'!$A$25:$A$50,A434,'USCG Summary'!$T$25:$T$50)/3.2808^2</f>
        <v>0</v>
      </c>
      <c r="AD434" s="153">
        <f>SUMIF('USCG Summary'!$A$25:$A$50,A434,'USCG Summary'!$W$25:$W$50)/3.2808^2</f>
        <v>0</v>
      </c>
      <c r="AE434" s="153">
        <f>SUMIF('USCG Summary'!$A$25:$A$50,A434,'USCG Summary'!$Z$25:$Z$50)/3.2808^2</f>
        <v>0</v>
      </c>
      <c r="AF434" s="155">
        <f>SUMIF(Comp!$A$75:$A$400,Areas!A434,Comp!$F$75:$F$400)</f>
        <v>0</v>
      </c>
      <c r="AG434" s="155">
        <f>SUMIF(Comp!$A$75:$A$400,Areas!A434,Comp!$G$75:$G$400)</f>
        <v>0</v>
      </c>
      <c r="AH434" s="155"/>
      <c r="AI434" s="155"/>
      <c r="AK434" s="147"/>
    </row>
    <row r="435" spans="1:37" s="134" customFormat="1">
      <c r="A435" s="140">
        <v>3.73</v>
      </c>
      <c r="B435" s="134" t="str">
        <f>Comp!B341</f>
        <v>OPERATIONS DEPT</v>
      </c>
      <c r="C435" s="149">
        <f>S435</f>
        <v>0</v>
      </c>
      <c r="D435" s="149">
        <f>T435</f>
        <v>0</v>
      </c>
      <c r="E435" s="149">
        <f>U435</f>
        <v>0</v>
      </c>
      <c r="F435" s="149">
        <f>V435</f>
        <v>0</v>
      </c>
      <c r="G435" s="409"/>
      <c r="H435" s="409"/>
      <c r="I435" s="409"/>
      <c r="J435" s="409"/>
      <c r="K435" s="409"/>
      <c r="L435" s="409"/>
      <c r="M435" s="409"/>
      <c r="N435" s="409"/>
      <c r="O435" s="409"/>
      <c r="P435" s="149">
        <f t="shared" si="137"/>
        <v>12.8</v>
      </c>
      <c r="Q435" s="149">
        <f t="shared" si="138"/>
        <v>12.8</v>
      </c>
      <c r="S435" s="153">
        <f>SUMIF('Flt III'!D:D,A435,'Flt III'!E:E)/3.2808^2</f>
        <v>0</v>
      </c>
      <c r="T435" s="153">
        <f>SUMIF('Flt IIa'!A:A,A435,'Flt IIa'!E:E)/3.2808^2</f>
        <v>0</v>
      </c>
      <c r="U435" s="153">
        <f>SUMIF('OPC Des'!A:A,A435,'OPC Des'!F:F)/3.2808^2</f>
        <v>0</v>
      </c>
      <c r="V435" s="153">
        <f>SUMIF('LCS 5'!A:A,A435,'LCS 5'!E:E)</f>
        <v>0</v>
      </c>
      <c r="W435" s="153">
        <f>SUMIF('USCG Summary'!$A$25:$A$50,A435,'USCG Summary'!$D$25:$D$50)/3.2808^2</f>
        <v>0</v>
      </c>
      <c r="X435" s="153">
        <f>SUMIF('USCG Summary'!$A$25:$A$50,A435,'USCG Summary'!$I$25:$I$50)/3.2808^2</f>
        <v>0</v>
      </c>
      <c r="Y435" s="153">
        <f>SUMIF('USCG Summary'!$A$25:$A$50,A435,'USCG Summary'!$L$25:$L$50)/3.2808^2</f>
        <v>0</v>
      </c>
      <c r="Z435" s="153">
        <f>SUMIF('USCG Summary'!$A$25:$A$50,A435,'USCG Summary'!$O$25:$O$50)/3.2808^2</f>
        <v>0</v>
      </c>
      <c r="AA435" s="153">
        <f>SUMIF('USCG Summary'!$A$25:$A$50,A435,'USCG Summary'!$P$25:$P$50)/3.2808^2</f>
        <v>0</v>
      </c>
      <c r="AB435" s="153">
        <f>SUMIF('USCG Summary'!$A$25:$A$50,A435,'USCG Summary'!$Q$25:$Q$50)/3.2808^2</f>
        <v>0</v>
      </c>
      <c r="AC435" s="153">
        <f>SUMIF('USCG Summary'!$A$25:$A$50,A435,'USCG Summary'!$T$25:$T$50)/3.2808^2</f>
        <v>0</v>
      </c>
      <c r="AD435" s="153">
        <f>SUMIF('USCG Summary'!$A$25:$A$50,A435,'USCG Summary'!$W$25:$W$50)/3.2808^2</f>
        <v>0</v>
      </c>
      <c r="AE435" s="153">
        <f>SUMIF('USCG Summary'!$A$25:$A$50,A435,'USCG Summary'!$Z$25:$Z$50)/3.2808^2</f>
        <v>0</v>
      </c>
      <c r="AF435" s="153">
        <f>SUMIF(Comp!$A$75:$A$400,Areas!A435,Comp!$F$75:$F$400)</f>
        <v>12.8</v>
      </c>
      <c r="AG435" s="153">
        <f>SUMIF(Comp!$A$75:$A$400,Areas!A435,Comp!$G$75:$G$400)</f>
        <v>12.8</v>
      </c>
      <c r="AH435" s="153"/>
      <c r="AI435" s="153"/>
      <c r="AK435" s="133"/>
    </row>
    <row r="436" spans="1:37" s="134" customFormat="1">
      <c r="A436" s="140">
        <v>3.74</v>
      </c>
      <c r="B436" s="134" t="str">
        <f>Comp!B342</f>
        <v>DECK DEPT (BOATSWAIN STORES)</v>
      </c>
      <c r="C436" s="149">
        <f>SUM(C437:C444)</f>
        <v>167.60116019543347</v>
      </c>
      <c r="D436" s="149">
        <f>T436</f>
        <v>177.35621663696369</v>
      </c>
      <c r="E436" s="149">
        <f>SUM(E437:E444)</f>
        <v>72.373228266209907</v>
      </c>
      <c r="F436" s="149">
        <f>SUM(F437:F444)</f>
        <v>0.79</v>
      </c>
      <c r="G436" s="409"/>
      <c r="H436" s="409"/>
      <c r="I436" s="409"/>
      <c r="J436" s="409"/>
      <c r="K436" s="409"/>
      <c r="L436" s="409"/>
      <c r="M436" s="409"/>
      <c r="N436" s="409"/>
      <c r="O436" s="409"/>
      <c r="P436" s="149">
        <f t="shared" si="137"/>
        <v>113.7</v>
      </c>
      <c r="Q436" s="149">
        <f t="shared" si="138"/>
        <v>113.7</v>
      </c>
      <c r="S436" s="153">
        <f>SUMIF('Flt III'!D:D,A436,'Flt III'!E:E)/3.2808^2</f>
        <v>0</v>
      </c>
      <c r="T436" s="153">
        <f>SUMIF('Flt IIa'!A:A,A436,'Flt IIa'!E:E)/3.2808^2</f>
        <v>177.35621663696369</v>
      </c>
      <c r="U436" s="153">
        <f>SUMIF('OPC Des'!A:A,A436,'OPC Des'!F:F)/3.2808^2</f>
        <v>0</v>
      </c>
      <c r="V436" s="153">
        <f>SUMIF('LCS 5'!A:A,A436,'LCS 5'!E:E)</f>
        <v>0</v>
      </c>
      <c r="W436" s="153">
        <f>SUMIF('USCG Summary'!$A$25:$A$50,A436,'USCG Summary'!$D$25:$D$50)/3.2808^2</f>
        <v>0</v>
      </c>
      <c r="X436" s="153">
        <f>SUMIF('USCG Summary'!$A$25:$A$50,A436,'USCG Summary'!$I$25:$I$50)/3.2808^2</f>
        <v>0</v>
      </c>
      <c r="Y436" s="153">
        <f>SUMIF('USCG Summary'!$A$25:$A$50,A436,'USCG Summary'!$L$25:$L$50)/3.2808^2</f>
        <v>0</v>
      </c>
      <c r="Z436" s="153">
        <f>SUMIF('USCG Summary'!$A$25:$A$50,A436,'USCG Summary'!$O$25:$O$50)/3.2808^2</f>
        <v>0</v>
      </c>
      <c r="AA436" s="153">
        <f>SUMIF('USCG Summary'!$A$25:$A$50,A436,'USCG Summary'!$P$25:$P$50)/3.2808^2</f>
        <v>0</v>
      </c>
      <c r="AB436" s="153">
        <f>SUMIF('USCG Summary'!$A$25:$A$50,A436,'USCG Summary'!$Q$25:$Q$50)/3.2808^2</f>
        <v>0</v>
      </c>
      <c r="AC436" s="153">
        <f>SUMIF('USCG Summary'!$A$25:$A$50,A436,'USCG Summary'!$T$25:$T$50)/3.2808^2</f>
        <v>0</v>
      </c>
      <c r="AD436" s="153">
        <f>SUMIF('USCG Summary'!$A$25:$A$50,A436,'USCG Summary'!$W$25:$W$50)/3.2808^2</f>
        <v>0</v>
      </c>
      <c r="AE436" s="153">
        <f>SUMIF('USCG Summary'!$A$25:$A$50,A436,'USCG Summary'!$Z$25:$Z$50)/3.2808^2</f>
        <v>0</v>
      </c>
      <c r="AF436" s="153">
        <f>SUMIF(Comp!$A$75:$A$400,Areas!A436,Comp!$F$75:$F$400)</f>
        <v>113.7</v>
      </c>
      <c r="AG436" s="153">
        <f>SUMIF(Comp!$A$75:$A$400,Areas!A436,Comp!$G$75:$G$400)</f>
        <v>113.7</v>
      </c>
      <c r="AH436" s="153"/>
      <c r="AI436" s="153"/>
      <c r="AK436" s="133"/>
    </row>
    <row r="437" spans="1:37" s="148" customFormat="1">
      <c r="A437" s="146" t="s">
        <v>799</v>
      </c>
      <c r="C437" s="147">
        <f t="shared" ref="C437:F444" si="144">S437</f>
        <v>1.951011288306044</v>
      </c>
      <c r="D437" s="147">
        <f t="shared" si="144"/>
        <v>0</v>
      </c>
      <c r="E437" s="147">
        <f t="shared" si="144"/>
        <v>10.219582938745944</v>
      </c>
      <c r="F437" s="147">
        <f t="shared" si="144"/>
        <v>0</v>
      </c>
      <c r="G437" s="411"/>
      <c r="H437" s="411"/>
      <c r="I437" s="411"/>
      <c r="J437" s="411"/>
      <c r="K437" s="411"/>
      <c r="L437" s="411"/>
      <c r="M437" s="411"/>
      <c r="N437" s="411"/>
      <c r="O437" s="411"/>
      <c r="P437" s="147">
        <f t="shared" si="137"/>
        <v>0</v>
      </c>
      <c r="Q437" s="147">
        <f t="shared" si="138"/>
        <v>0</v>
      </c>
      <c r="S437" s="155">
        <f>SUMIF('Flt III'!D:D,A437,'Flt III'!E:E)/3.2808^2</f>
        <v>1.951011288306044</v>
      </c>
      <c r="T437" s="155">
        <f>SUMIF('Flt IIa'!A:A,A437,'Flt IIa'!E:E)/3.2808^2</f>
        <v>0</v>
      </c>
      <c r="U437" s="155">
        <f>SUMIF('OPC Des'!A:A,A437,'OPC Des'!F:F)/3.2808^2</f>
        <v>10.219582938745944</v>
      </c>
      <c r="V437" s="155">
        <f>SUMIF('LCS 5'!A:A,A437,'LCS 5'!E:E)</f>
        <v>0</v>
      </c>
      <c r="W437" s="155">
        <f>SUMIF('USCG Summary'!$A$25:$A$50,A437,'USCG Summary'!$D$25:$D$50)/3.2808^2</f>
        <v>0</v>
      </c>
      <c r="X437" s="153">
        <f>SUMIF('USCG Summary'!$A$25:$A$50,A437,'USCG Summary'!$I$25:$I$50)/3.2808^2</f>
        <v>0</v>
      </c>
      <c r="Y437" s="153">
        <f>SUMIF('USCG Summary'!$A$25:$A$50,A437,'USCG Summary'!$L$25:$L$50)/3.2808^2</f>
        <v>0</v>
      </c>
      <c r="Z437" s="153">
        <f>SUMIF('USCG Summary'!$A$25:$A$50,A437,'USCG Summary'!$O$25:$O$50)/3.2808^2</f>
        <v>0</v>
      </c>
      <c r="AA437" s="153">
        <f>SUMIF('USCG Summary'!$A$25:$A$50,A437,'USCG Summary'!$P$25:$P$50)/3.2808^2</f>
        <v>0</v>
      </c>
      <c r="AB437" s="153">
        <f>SUMIF('USCG Summary'!$A$25:$A$50,A437,'USCG Summary'!$Q$25:$Q$50)/3.2808^2</f>
        <v>0</v>
      </c>
      <c r="AC437" s="153">
        <f>SUMIF('USCG Summary'!$A$25:$A$50,A437,'USCG Summary'!$T$25:$T$50)/3.2808^2</f>
        <v>0</v>
      </c>
      <c r="AD437" s="153">
        <f>SUMIF('USCG Summary'!$A$25:$A$50,A437,'USCG Summary'!$W$25:$W$50)/3.2808^2</f>
        <v>0</v>
      </c>
      <c r="AE437" s="153">
        <f>SUMIF('USCG Summary'!$A$25:$A$50,A437,'USCG Summary'!$Z$25:$Z$50)/3.2808^2</f>
        <v>0</v>
      </c>
      <c r="AF437" s="155">
        <f>SUMIF(Comp!$A$75:$A$400,Areas!A437,Comp!$F$75:$F$400)</f>
        <v>0</v>
      </c>
      <c r="AG437" s="155">
        <f>SUMIF(Comp!$A$75:$A$400,Areas!A437,Comp!$G$75:$G$400)</f>
        <v>0</v>
      </c>
      <c r="AH437" s="155"/>
      <c r="AI437" s="155"/>
      <c r="AK437" s="147"/>
    </row>
    <row r="438" spans="1:37" s="148" customFormat="1">
      <c r="A438" s="146" t="s">
        <v>791</v>
      </c>
      <c r="C438" s="147">
        <f t="shared" si="144"/>
        <v>40.971237054426922</v>
      </c>
      <c r="D438" s="147">
        <f t="shared" si="144"/>
        <v>0</v>
      </c>
      <c r="E438" s="147">
        <f t="shared" si="144"/>
        <v>0</v>
      </c>
      <c r="F438" s="147">
        <f t="shared" si="144"/>
        <v>0</v>
      </c>
      <c r="G438" s="411"/>
      <c r="H438" s="411"/>
      <c r="I438" s="411"/>
      <c r="J438" s="411"/>
      <c r="K438" s="411"/>
      <c r="L438" s="411"/>
      <c r="M438" s="411"/>
      <c r="N438" s="411"/>
      <c r="O438" s="411"/>
      <c r="P438" s="147">
        <f t="shared" si="137"/>
        <v>0</v>
      </c>
      <c r="Q438" s="147">
        <f t="shared" si="138"/>
        <v>0</v>
      </c>
      <c r="S438" s="155">
        <f>SUMIF('Flt III'!D:D,A438,'Flt III'!E:E)/3.2808^2</f>
        <v>40.971237054426922</v>
      </c>
      <c r="T438" s="155">
        <f>SUMIF('Flt IIa'!A:A,A438,'Flt IIa'!E:E)/3.2808^2</f>
        <v>0</v>
      </c>
      <c r="U438" s="155">
        <f>SUMIF('OPC Des'!A:A,A438,'OPC Des'!F:F)/3.2808^2</f>
        <v>0</v>
      </c>
      <c r="V438" s="155">
        <f>SUMIF('LCS 5'!A:A,A438,'LCS 5'!E:E)</f>
        <v>0</v>
      </c>
      <c r="W438" s="155">
        <f>SUMIF('USCG Summary'!$A$25:$A$50,A438,'USCG Summary'!$D$25:$D$50)/3.2808^2</f>
        <v>0</v>
      </c>
      <c r="X438" s="153">
        <f>SUMIF('USCG Summary'!$A$25:$A$50,A438,'USCG Summary'!$I$25:$I$50)/3.2808^2</f>
        <v>0</v>
      </c>
      <c r="Y438" s="153">
        <f>SUMIF('USCG Summary'!$A$25:$A$50,A438,'USCG Summary'!$L$25:$L$50)/3.2808^2</f>
        <v>0</v>
      </c>
      <c r="Z438" s="153">
        <f>SUMIF('USCG Summary'!$A$25:$A$50,A438,'USCG Summary'!$O$25:$O$50)/3.2808^2</f>
        <v>0</v>
      </c>
      <c r="AA438" s="153">
        <f>SUMIF('USCG Summary'!$A$25:$A$50,A438,'USCG Summary'!$P$25:$P$50)/3.2808^2</f>
        <v>0</v>
      </c>
      <c r="AB438" s="153">
        <f>SUMIF('USCG Summary'!$A$25:$A$50,A438,'USCG Summary'!$Q$25:$Q$50)/3.2808^2</f>
        <v>0</v>
      </c>
      <c r="AC438" s="153">
        <f>SUMIF('USCG Summary'!$A$25:$A$50,A438,'USCG Summary'!$T$25:$T$50)/3.2808^2</f>
        <v>0</v>
      </c>
      <c r="AD438" s="153">
        <f>SUMIF('USCG Summary'!$A$25:$A$50,A438,'USCG Summary'!$W$25:$W$50)/3.2808^2</f>
        <v>0</v>
      </c>
      <c r="AE438" s="153">
        <f>SUMIF('USCG Summary'!$A$25:$A$50,A438,'USCG Summary'!$Z$25:$Z$50)/3.2808^2</f>
        <v>0</v>
      </c>
      <c r="AF438" s="155">
        <f>SUMIF(Comp!$A$75:$A$400,Areas!A438,Comp!$F$75:$F$400)</f>
        <v>0</v>
      </c>
      <c r="AG438" s="155">
        <f>SUMIF(Comp!$A$75:$A$400,Areas!A438,Comp!$G$75:$G$400)</f>
        <v>0</v>
      </c>
      <c r="AH438" s="155"/>
      <c r="AI438" s="155"/>
      <c r="AK438" s="147"/>
    </row>
    <row r="439" spans="1:37" s="148" customFormat="1">
      <c r="A439" s="146" t="s">
        <v>786</v>
      </c>
      <c r="C439" s="147">
        <f t="shared" si="144"/>
        <v>80.920515814979254</v>
      </c>
      <c r="D439" s="147">
        <f t="shared" si="144"/>
        <v>0</v>
      </c>
      <c r="E439" s="147">
        <f t="shared" si="144"/>
        <v>19.788828781389874</v>
      </c>
      <c r="F439" s="147">
        <f t="shared" si="144"/>
        <v>0</v>
      </c>
      <c r="G439" s="411"/>
      <c r="H439" s="411"/>
      <c r="I439" s="411"/>
      <c r="J439" s="411"/>
      <c r="K439" s="411"/>
      <c r="L439" s="411"/>
      <c r="M439" s="411"/>
      <c r="N439" s="411"/>
      <c r="O439" s="411"/>
      <c r="P439" s="147">
        <f t="shared" si="137"/>
        <v>0</v>
      </c>
      <c r="Q439" s="147">
        <f t="shared" si="138"/>
        <v>0</v>
      </c>
      <c r="S439" s="155">
        <f>SUMIF('Flt III'!D:D,A439,'Flt III'!E:E)/3.2808^2</f>
        <v>80.920515814979254</v>
      </c>
      <c r="T439" s="155">
        <f>SUMIF('Flt IIa'!A:A,A439,'Flt IIa'!E:E)/3.2808^2</f>
        <v>0</v>
      </c>
      <c r="U439" s="155">
        <f>SUMIF('OPC Des'!A:A,A439,'OPC Des'!F:F)/3.2808^2</f>
        <v>19.788828781389874</v>
      </c>
      <c r="V439" s="155">
        <f>SUMIF('LCS 5'!A:A,A439,'LCS 5'!E:E)</f>
        <v>0</v>
      </c>
      <c r="W439" s="155">
        <f>SUMIF('USCG Summary'!$A$25:$A$50,A439,'USCG Summary'!$D$25:$D$50)/3.2808^2</f>
        <v>0</v>
      </c>
      <c r="X439" s="153">
        <f>SUMIF('USCG Summary'!$A$25:$A$50,A439,'USCG Summary'!$I$25:$I$50)/3.2808^2</f>
        <v>0</v>
      </c>
      <c r="Y439" s="153">
        <f>SUMIF('USCG Summary'!$A$25:$A$50,A439,'USCG Summary'!$L$25:$L$50)/3.2808^2</f>
        <v>0</v>
      </c>
      <c r="Z439" s="153">
        <f>SUMIF('USCG Summary'!$A$25:$A$50,A439,'USCG Summary'!$O$25:$O$50)/3.2808^2</f>
        <v>0</v>
      </c>
      <c r="AA439" s="153">
        <f>SUMIF('USCG Summary'!$A$25:$A$50,A439,'USCG Summary'!$P$25:$P$50)/3.2808^2</f>
        <v>0</v>
      </c>
      <c r="AB439" s="153">
        <f>SUMIF('USCG Summary'!$A$25:$A$50,A439,'USCG Summary'!$Q$25:$Q$50)/3.2808^2</f>
        <v>0</v>
      </c>
      <c r="AC439" s="153">
        <f>SUMIF('USCG Summary'!$A$25:$A$50,A439,'USCG Summary'!$T$25:$T$50)/3.2808^2</f>
        <v>0</v>
      </c>
      <c r="AD439" s="153">
        <f>SUMIF('USCG Summary'!$A$25:$A$50,A439,'USCG Summary'!$W$25:$W$50)/3.2808^2</f>
        <v>0</v>
      </c>
      <c r="AE439" s="153">
        <f>SUMIF('USCG Summary'!$A$25:$A$50,A439,'USCG Summary'!$Z$25:$Z$50)/3.2808^2</f>
        <v>0</v>
      </c>
      <c r="AF439" s="155">
        <f>SUMIF(Comp!$A$75:$A$400,Areas!A439,Comp!$F$75:$F$400)</f>
        <v>0</v>
      </c>
      <c r="AG439" s="155">
        <f>SUMIF(Comp!$A$75:$A$400,Areas!A439,Comp!$G$75:$G$400)</f>
        <v>0</v>
      </c>
      <c r="AH439" s="155"/>
      <c r="AI439" s="155"/>
      <c r="AK439" s="147"/>
    </row>
    <row r="440" spans="1:37" s="148" customFormat="1">
      <c r="A440" s="146">
        <v>3.7400600000000002</v>
      </c>
      <c r="C440" s="147">
        <f t="shared" si="144"/>
        <v>4.6452649721572472</v>
      </c>
      <c r="D440" s="147">
        <f t="shared" si="144"/>
        <v>0</v>
      </c>
      <c r="E440" s="147">
        <f t="shared" si="144"/>
        <v>6.5962762604632914</v>
      </c>
      <c r="F440" s="147">
        <f t="shared" si="144"/>
        <v>0.79</v>
      </c>
      <c r="G440" s="411"/>
      <c r="H440" s="411"/>
      <c r="I440" s="411"/>
      <c r="J440" s="411"/>
      <c r="K440" s="411"/>
      <c r="L440" s="411"/>
      <c r="M440" s="411"/>
      <c r="N440" s="411"/>
      <c r="O440" s="411"/>
      <c r="P440" s="147">
        <f t="shared" si="137"/>
        <v>0</v>
      </c>
      <c r="Q440" s="147">
        <f t="shared" si="138"/>
        <v>0</v>
      </c>
      <c r="S440" s="155">
        <f>SUMIF('Flt III'!D:D,A440,'Flt III'!E:E)/3.2808^2</f>
        <v>4.6452649721572472</v>
      </c>
      <c r="T440" s="155">
        <f>SUMIF('Flt IIa'!A:A,A440,'Flt IIa'!E:E)/3.2808^2</f>
        <v>0</v>
      </c>
      <c r="U440" s="155">
        <f>SUMIF('OPC Des'!A:A,A440,'OPC Des'!F:F)/3.2808^2</f>
        <v>6.5962762604632914</v>
      </c>
      <c r="V440" s="155">
        <f>SUMIF('LCS 5'!A:A,A440,'LCS 5'!E:E)</f>
        <v>0.79</v>
      </c>
      <c r="W440" s="155">
        <f>SUMIF('USCG Summary'!$A$25:$A$50,A440,'USCG Summary'!$D$25:$D$50)/3.2808^2</f>
        <v>0</v>
      </c>
      <c r="X440" s="153">
        <f>SUMIF('USCG Summary'!$A$25:$A$50,A440,'USCG Summary'!$I$25:$I$50)/3.2808^2</f>
        <v>0</v>
      </c>
      <c r="Y440" s="153">
        <f>SUMIF('USCG Summary'!$A$25:$A$50,A440,'USCG Summary'!$L$25:$L$50)/3.2808^2</f>
        <v>0</v>
      </c>
      <c r="Z440" s="153">
        <f>SUMIF('USCG Summary'!$A$25:$A$50,A440,'USCG Summary'!$O$25:$O$50)/3.2808^2</f>
        <v>0</v>
      </c>
      <c r="AA440" s="153">
        <f>SUMIF('USCG Summary'!$A$25:$A$50,A440,'USCG Summary'!$P$25:$P$50)/3.2808^2</f>
        <v>0</v>
      </c>
      <c r="AB440" s="153">
        <f>SUMIF('USCG Summary'!$A$25:$A$50,A440,'USCG Summary'!$Q$25:$Q$50)/3.2808^2</f>
        <v>0</v>
      </c>
      <c r="AC440" s="153">
        <f>SUMIF('USCG Summary'!$A$25:$A$50,A440,'USCG Summary'!$T$25:$T$50)/3.2808^2</f>
        <v>0</v>
      </c>
      <c r="AD440" s="153">
        <f>SUMIF('USCG Summary'!$A$25:$A$50,A440,'USCG Summary'!$W$25:$W$50)/3.2808^2</f>
        <v>0</v>
      </c>
      <c r="AE440" s="153">
        <f>SUMIF('USCG Summary'!$A$25:$A$50,A440,'USCG Summary'!$Z$25:$Z$50)/3.2808^2</f>
        <v>0</v>
      </c>
      <c r="AF440" s="155">
        <f>SUMIF(Comp!$A$75:$A$400,Areas!A440,Comp!$F$75:$F$400)</f>
        <v>0</v>
      </c>
      <c r="AG440" s="155">
        <f>SUMIF(Comp!$A$75:$A$400,Areas!A440,Comp!$G$75:$G$400)</f>
        <v>0</v>
      </c>
      <c r="AH440" s="155"/>
      <c r="AI440" s="155"/>
      <c r="AK440" s="147"/>
    </row>
    <row r="441" spans="1:37" s="148" customFormat="1">
      <c r="A441" s="146" t="s">
        <v>781</v>
      </c>
      <c r="C441" s="147">
        <f t="shared" si="144"/>
        <v>12.728026023710857</v>
      </c>
      <c r="D441" s="147">
        <f t="shared" si="144"/>
        <v>0</v>
      </c>
      <c r="E441" s="147">
        <f t="shared" si="144"/>
        <v>35.768540285610804</v>
      </c>
      <c r="F441" s="147">
        <f t="shared" si="144"/>
        <v>0</v>
      </c>
      <c r="G441" s="411"/>
      <c r="H441" s="411"/>
      <c r="I441" s="411"/>
      <c r="J441" s="411"/>
      <c r="K441" s="411"/>
      <c r="L441" s="411"/>
      <c r="M441" s="411"/>
      <c r="N441" s="411"/>
      <c r="O441" s="411"/>
      <c r="P441" s="147">
        <f t="shared" si="137"/>
        <v>0</v>
      </c>
      <c r="Q441" s="147">
        <f t="shared" si="138"/>
        <v>0</v>
      </c>
      <c r="S441" s="155">
        <f>SUMIF('Flt III'!D:D,A441,'Flt III'!E:E)/3.2808^2</f>
        <v>12.728026023710857</v>
      </c>
      <c r="T441" s="155">
        <f>SUMIF('Flt IIa'!A:A,A441,'Flt IIa'!E:E)/3.2808^2</f>
        <v>0</v>
      </c>
      <c r="U441" s="155">
        <f>SUMIF('OPC Des'!A:A,A441,'OPC Des'!F:F)/3.2808^2</f>
        <v>35.768540285610804</v>
      </c>
      <c r="V441" s="155">
        <f>SUMIF('LCS 5'!A:A,A441,'LCS 5'!E:E)</f>
        <v>0</v>
      </c>
      <c r="W441" s="155">
        <f>SUMIF('USCG Summary'!$A$25:$A$50,A441,'USCG Summary'!$D$25:$D$50)/3.2808^2</f>
        <v>0</v>
      </c>
      <c r="X441" s="153">
        <f>SUMIF('USCG Summary'!$A$25:$A$50,A441,'USCG Summary'!$I$25:$I$50)/3.2808^2</f>
        <v>0</v>
      </c>
      <c r="Y441" s="153">
        <f>SUMIF('USCG Summary'!$A$25:$A$50,A441,'USCG Summary'!$L$25:$L$50)/3.2808^2</f>
        <v>0</v>
      </c>
      <c r="Z441" s="153">
        <f>SUMIF('USCG Summary'!$A$25:$A$50,A441,'USCG Summary'!$O$25:$O$50)/3.2808^2</f>
        <v>0</v>
      </c>
      <c r="AA441" s="153">
        <f>SUMIF('USCG Summary'!$A$25:$A$50,A441,'USCG Summary'!$P$25:$P$50)/3.2808^2</f>
        <v>0</v>
      </c>
      <c r="AB441" s="153">
        <f>SUMIF('USCG Summary'!$A$25:$A$50,A441,'USCG Summary'!$Q$25:$Q$50)/3.2808^2</f>
        <v>0</v>
      </c>
      <c r="AC441" s="153">
        <f>SUMIF('USCG Summary'!$A$25:$A$50,A441,'USCG Summary'!$T$25:$T$50)/3.2808^2</f>
        <v>0</v>
      </c>
      <c r="AD441" s="153">
        <f>SUMIF('USCG Summary'!$A$25:$A$50,A441,'USCG Summary'!$W$25:$W$50)/3.2808^2</f>
        <v>0</v>
      </c>
      <c r="AE441" s="153">
        <f>SUMIF('USCG Summary'!$A$25:$A$50,A441,'USCG Summary'!$Z$25:$Z$50)/3.2808^2</f>
        <v>0</v>
      </c>
      <c r="AF441" s="155">
        <f>SUMIF(Comp!$A$75:$A$400,Areas!A441,Comp!$F$75:$F$400)</f>
        <v>0</v>
      </c>
      <c r="AG441" s="155">
        <f>SUMIF(Comp!$A$75:$A$400,Areas!A441,Comp!$G$75:$G$400)</f>
        <v>0</v>
      </c>
      <c r="AH441" s="155"/>
      <c r="AI441" s="155"/>
      <c r="AK441" s="147"/>
    </row>
    <row r="442" spans="1:37" s="148" customFormat="1">
      <c r="A442" s="146" t="s">
        <v>778</v>
      </c>
      <c r="C442" s="147">
        <f t="shared" si="144"/>
        <v>4.5523596727141022</v>
      </c>
      <c r="D442" s="147">
        <f t="shared" si="144"/>
        <v>0</v>
      </c>
      <c r="E442" s="147">
        <f t="shared" si="144"/>
        <v>0</v>
      </c>
      <c r="F442" s="147">
        <f t="shared" si="144"/>
        <v>0</v>
      </c>
      <c r="G442" s="411"/>
      <c r="H442" s="411"/>
      <c r="I442" s="411"/>
      <c r="J442" s="411"/>
      <c r="K442" s="411"/>
      <c r="L442" s="411"/>
      <c r="M442" s="411"/>
      <c r="N442" s="411"/>
      <c r="O442" s="411"/>
      <c r="P442" s="147">
        <f t="shared" si="137"/>
        <v>0</v>
      </c>
      <c r="Q442" s="147">
        <f t="shared" si="138"/>
        <v>0</v>
      </c>
      <c r="S442" s="155">
        <f>SUMIF('Flt III'!D:D,A442,'Flt III'!E:E)/3.2808^2</f>
        <v>4.5523596727141022</v>
      </c>
      <c r="T442" s="155">
        <f>SUMIF('Flt IIa'!A:A,A442,'Flt IIa'!E:E)/3.2808^2</f>
        <v>0</v>
      </c>
      <c r="U442" s="155">
        <f>SUMIF('OPC Des'!A:A,A442,'OPC Des'!F:F)/3.2808^2</f>
        <v>0</v>
      </c>
      <c r="V442" s="155">
        <f>SUMIF('LCS 5'!A:A,A442,'LCS 5'!E:E)</f>
        <v>0</v>
      </c>
      <c r="W442" s="155">
        <f>SUMIF('USCG Summary'!$A$25:$A$50,A442,'USCG Summary'!$D$25:$D$50)/3.2808^2</f>
        <v>0</v>
      </c>
      <c r="X442" s="153">
        <f>SUMIF('USCG Summary'!$A$25:$A$50,A442,'USCG Summary'!$I$25:$I$50)/3.2808^2</f>
        <v>0</v>
      </c>
      <c r="Y442" s="153">
        <f>SUMIF('USCG Summary'!$A$25:$A$50,A442,'USCG Summary'!$L$25:$L$50)/3.2808^2</f>
        <v>0</v>
      </c>
      <c r="Z442" s="153">
        <f>SUMIF('USCG Summary'!$A$25:$A$50,A442,'USCG Summary'!$O$25:$O$50)/3.2808^2</f>
        <v>0</v>
      </c>
      <c r="AA442" s="153">
        <f>SUMIF('USCG Summary'!$A$25:$A$50,A442,'USCG Summary'!$P$25:$P$50)/3.2808^2</f>
        <v>0</v>
      </c>
      <c r="AB442" s="153">
        <f>SUMIF('USCG Summary'!$A$25:$A$50,A442,'USCG Summary'!$Q$25:$Q$50)/3.2808^2</f>
        <v>0</v>
      </c>
      <c r="AC442" s="153">
        <f>SUMIF('USCG Summary'!$A$25:$A$50,A442,'USCG Summary'!$T$25:$T$50)/3.2808^2</f>
        <v>0</v>
      </c>
      <c r="AD442" s="153">
        <f>SUMIF('USCG Summary'!$A$25:$A$50,A442,'USCG Summary'!$W$25:$W$50)/3.2808^2</f>
        <v>0</v>
      </c>
      <c r="AE442" s="153">
        <f>SUMIF('USCG Summary'!$A$25:$A$50,A442,'USCG Summary'!$Z$25:$Z$50)/3.2808^2</f>
        <v>0</v>
      </c>
      <c r="AF442" s="155">
        <f>SUMIF(Comp!$A$75:$A$400,Areas!A442,Comp!$F$75:$F$400)</f>
        <v>0</v>
      </c>
      <c r="AG442" s="155">
        <f>SUMIF(Comp!$A$75:$A$400,Areas!A442,Comp!$G$75:$G$400)</f>
        <v>0</v>
      </c>
      <c r="AH442" s="155"/>
      <c r="AI442" s="155"/>
      <c r="AK442" s="147"/>
    </row>
    <row r="443" spans="1:37" s="148" customFormat="1">
      <c r="A443" s="146" t="s">
        <v>775</v>
      </c>
      <c r="C443" s="147">
        <f t="shared" si="144"/>
        <v>8.5472875487693347</v>
      </c>
      <c r="D443" s="147">
        <f t="shared" si="144"/>
        <v>0</v>
      </c>
      <c r="E443" s="147">
        <f t="shared" si="144"/>
        <v>0</v>
      </c>
      <c r="F443" s="147">
        <f t="shared" si="144"/>
        <v>0</v>
      </c>
      <c r="G443" s="411"/>
      <c r="H443" s="411"/>
      <c r="I443" s="411"/>
      <c r="J443" s="411"/>
      <c r="K443" s="411"/>
      <c r="L443" s="411"/>
      <c r="M443" s="411"/>
      <c r="N443" s="411"/>
      <c r="O443" s="411"/>
      <c r="P443" s="147">
        <f t="shared" si="137"/>
        <v>0</v>
      </c>
      <c r="Q443" s="147">
        <f t="shared" si="138"/>
        <v>0</v>
      </c>
      <c r="S443" s="155">
        <f>SUMIF('Flt III'!D:D,A443,'Flt III'!E:E)/3.2808^2</f>
        <v>8.5472875487693347</v>
      </c>
      <c r="T443" s="155">
        <f>SUMIF('Flt IIa'!A:A,A443,'Flt IIa'!E:E)/3.2808^2</f>
        <v>0</v>
      </c>
      <c r="U443" s="155">
        <f>SUMIF('OPC Des'!A:A,A443,'OPC Des'!F:F)/3.2808^2</f>
        <v>0</v>
      </c>
      <c r="V443" s="155">
        <f>SUMIF('LCS 5'!A:A,A443,'LCS 5'!E:E)</f>
        <v>0</v>
      </c>
      <c r="W443" s="155">
        <f>SUMIF('USCG Summary'!$A$25:$A$50,A443,'USCG Summary'!$D$25:$D$50)/3.2808^2</f>
        <v>0</v>
      </c>
      <c r="X443" s="153">
        <f>SUMIF('USCG Summary'!$A$25:$A$50,A443,'USCG Summary'!$I$25:$I$50)/3.2808^2</f>
        <v>0</v>
      </c>
      <c r="Y443" s="153">
        <f>SUMIF('USCG Summary'!$A$25:$A$50,A443,'USCG Summary'!$L$25:$L$50)/3.2808^2</f>
        <v>0</v>
      </c>
      <c r="Z443" s="153">
        <f>SUMIF('USCG Summary'!$A$25:$A$50,A443,'USCG Summary'!$O$25:$O$50)/3.2808^2</f>
        <v>0</v>
      </c>
      <c r="AA443" s="153">
        <f>SUMIF('USCG Summary'!$A$25:$A$50,A443,'USCG Summary'!$P$25:$P$50)/3.2808^2</f>
        <v>0</v>
      </c>
      <c r="AB443" s="153">
        <f>SUMIF('USCG Summary'!$A$25:$A$50,A443,'USCG Summary'!$Q$25:$Q$50)/3.2808^2</f>
        <v>0</v>
      </c>
      <c r="AC443" s="153">
        <f>SUMIF('USCG Summary'!$A$25:$A$50,A443,'USCG Summary'!$T$25:$T$50)/3.2808^2</f>
        <v>0</v>
      </c>
      <c r="AD443" s="153">
        <f>SUMIF('USCG Summary'!$A$25:$A$50,A443,'USCG Summary'!$W$25:$W$50)/3.2808^2</f>
        <v>0</v>
      </c>
      <c r="AE443" s="153">
        <f>SUMIF('USCG Summary'!$A$25:$A$50,A443,'USCG Summary'!$Z$25:$Z$50)/3.2808^2</f>
        <v>0</v>
      </c>
      <c r="AF443" s="155">
        <f>SUMIF(Comp!$A$75:$A$400,Areas!A443,Comp!$F$75:$F$400)</f>
        <v>0</v>
      </c>
      <c r="AG443" s="155">
        <f>SUMIF(Comp!$A$75:$A$400,Areas!A443,Comp!$G$75:$G$400)</f>
        <v>0</v>
      </c>
      <c r="AH443" s="155"/>
      <c r="AI443" s="155"/>
      <c r="AK443" s="147"/>
    </row>
    <row r="444" spans="1:37" s="148" customFormat="1">
      <c r="A444" s="146" t="s">
        <v>772</v>
      </c>
      <c r="C444" s="147">
        <f t="shared" si="144"/>
        <v>13.285457820369727</v>
      </c>
      <c r="D444" s="147">
        <f t="shared" si="144"/>
        <v>0</v>
      </c>
      <c r="E444" s="147">
        <f t="shared" si="144"/>
        <v>0</v>
      </c>
      <c r="F444" s="147">
        <f t="shared" si="144"/>
        <v>0</v>
      </c>
      <c r="G444" s="411"/>
      <c r="H444" s="411"/>
      <c r="I444" s="411"/>
      <c r="J444" s="411"/>
      <c r="K444" s="411"/>
      <c r="L444" s="411"/>
      <c r="M444" s="411"/>
      <c r="N444" s="411"/>
      <c r="O444" s="411"/>
      <c r="P444" s="147">
        <f t="shared" si="137"/>
        <v>0</v>
      </c>
      <c r="Q444" s="147">
        <f t="shared" si="138"/>
        <v>0</v>
      </c>
      <c r="S444" s="155">
        <f>SUMIF('Flt III'!D:D,A444,'Flt III'!E:E)/3.2808^2</f>
        <v>13.285457820369727</v>
      </c>
      <c r="T444" s="155">
        <f>SUMIF('Flt IIa'!A:A,A444,'Flt IIa'!E:E)/3.2808^2</f>
        <v>0</v>
      </c>
      <c r="U444" s="155">
        <f>SUMIF('OPC Des'!A:A,A444,'OPC Des'!F:F)/3.2808^2</f>
        <v>0</v>
      </c>
      <c r="V444" s="155">
        <f>SUMIF('LCS 5'!A:A,A444,'LCS 5'!E:E)</f>
        <v>0</v>
      </c>
      <c r="W444" s="155">
        <f>SUMIF('USCG Summary'!$A$25:$A$50,A444,'USCG Summary'!$D$25:$D$50)/3.2808^2</f>
        <v>0</v>
      </c>
      <c r="X444" s="153">
        <f>SUMIF('USCG Summary'!$A$25:$A$50,A444,'USCG Summary'!$I$25:$I$50)/3.2808^2</f>
        <v>0</v>
      </c>
      <c r="Y444" s="153">
        <f>SUMIF('USCG Summary'!$A$25:$A$50,A444,'USCG Summary'!$L$25:$L$50)/3.2808^2</f>
        <v>0</v>
      </c>
      <c r="Z444" s="153">
        <f>SUMIF('USCG Summary'!$A$25:$A$50,A444,'USCG Summary'!$O$25:$O$50)/3.2808^2</f>
        <v>0</v>
      </c>
      <c r="AA444" s="153">
        <f>SUMIF('USCG Summary'!$A$25:$A$50,A444,'USCG Summary'!$P$25:$P$50)/3.2808^2</f>
        <v>0</v>
      </c>
      <c r="AB444" s="153">
        <f>SUMIF('USCG Summary'!$A$25:$A$50,A444,'USCG Summary'!$Q$25:$Q$50)/3.2808^2</f>
        <v>0</v>
      </c>
      <c r="AC444" s="153">
        <f>SUMIF('USCG Summary'!$A$25:$A$50,A444,'USCG Summary'!$T$25:$T$50)/3.2808^2</f>
        <v>0</v>
      </c>
      <c r="AD444" s="153">
        <f>SUMIF('USCG Summary'!$A$25:$A$50,A444,'USCG Summary'!$W$25:$W$50)/3.2808^2</f>
        <v>0</v>
      </c>
      <c r="AE444" s="153">
        <f>SUMIF('USCG Summary'!$A$25:$A$50,A444,'USCG Summary'!$Z$25:$Z$50)/3.2808^2</f>
        <v>0</v>
      </c>
      <c r="AF444" s="155">
        <f>SUMIF(Comp!$A$75:$A$400,Areas!A444,Comp!$F$75:$F$400)</f>
        <v>0</v>
      </c>
      <c r="AG444" s="155">
        <f>SUMIF(Comp!$A$75:$A$400,Areas!A444,Comp!$G$75:$G$400)</f>
        <v>0</v>
      </c>
      <c r="AH444" s="155"/>
      <c r="AI444" s="155"/>
      <c r="AK444" s="147"/>
    </row>
    <row r="445" spans="1:37" s="134" customFormat="1">
      <c r="A445" s="140">
        <v>3.75</v>
      </c>
      <c r="B445" s="134" t="str">
        <f>Comp!B343</f>
        <v>WEAPONS DEPT</v>
      </c>
      <c r="C445" s="149">
        <f>S445</f>
        <v>0</v>
      </c>
      <c r="D445" s="149">
        <f>T445</f>
        <v>0</v>
      </c>
      <c r="E445" s="149">
        <f>U445</f>
        <v>0</v>
      </c>
      <c r="F445" s="149">
        <f>V445</f>
        <v>0</v>
      </c>
      <c r="G445" s="409"/>
      <c r="H445" s="409"/>
      <c r="I445" s="409"/>
      <c r="J445" s="409"/>
      <c r="K445" s="409"/>
      <c r="L445" s="409"/>
      <c r="M445" s="409"/>
      <c r="N445" s="409"/>
      <c r="O445" s="409"/>
      <c r="P445" s="149">
        <f t="shared" si="137"/>
        <v>8.1</v>
      </c>
      <c r="Q445" s="149">
        <f t="shared" si="138"/>
        <v>8.1</v>
      </c>
      <c r="S445" s="153">
        <f>SUMIF('Flt III'!D:D,A445,'Flt III'!E:E)/3.2808^2</f>
        <v>0</v>
      </c>
      <c r="T445" s="153">
        <f>SUMIF('Flt IIa'!A:A,A445,'Flt IIa'!E:E)/3.2808^2</f>
        <v>0</v>
      </c>
      <c r="U445" s="153">
        <f>SUMIF('OPC Des'!A:A,A445,'OPC Des'!F:F)/3.2808^2</f>
        <v>0</v>
      </c>
      <c r="V445" s="153">
        <f>SUMIF('LCS 5'!A:A,A445,'LCS 5'!E:E)</f>
        <v>0</v>
      </c>
      <c r="W445" s="153">
        <f>SUMIF('USCG Summary'!$A$25:$A$50,A445,'USCG Summary'!$D$25:$D$50)/3.2808^2</f>
        <v>0</v>
      </c>
      <c r="X445" s="153">
        <f>SUMIF('USCG Summary'!$A$25:$A$50,A445,'USCG Summary'!$I$25:$I$50)/3.2808^2</f>
        <v>0</v>
      </c>
      <c r="Y445" s="153">
        <f>SUMIF('USCG Summary'!$A$25:$A$50,A445,'USCG Summary'!$L$25:$L$50)/3.2808^2</f>
        <v>0</v>
      </c>
      <c r="Z445" s="153">
        <f>SUMIF('USCG Summary'!$A$25:$A$50,A445,'USCG Summary'!$O$25:$O$50)/3.2808^2</f>
        <v>0</v>
      </c>
      <c r="AA445" s="153">
        <f>SUMIF('USCG Summary'!$A$25:$A$50,A445,'USCG Summary'!$P$25:$P$50)/3.2808^2</f>
        <v>0</v>
      </c>
      <c r="AB445" s="153">
        <f>SUMIF('USCG Summary'!$A$25:$A$50,A445,'USCG Summary'!$Q$25:$Q$50)/3.2808^2</f>
        <v>0</v>
      </c>
      <c r="AC445" s="153">
        <f>SUMIF('USCG Summary'!$A$25:$A$50,A445,'USCG Summary'!$T$25:$T$50)/3.2808^2</f>
        <v>0</v>
      </c>
      <c r="AD445" s="153">
        <f>SUMIF('USCG Summary'!$A$25:$A$50,A445,'USCG Summary'!$W$25:$W$50)/3.2808^2</f>
        <v>0</v>
      </c>
      <c r="AE445" s="153">
        <f>SUMIF('USCG Summary'!$A$25:$A$50,A445,'USCG Summary'!$Z$25:$Z$50)/3.2808^2</f>
        <v>0</v>
      </c>
      <c r="AF445" s="153">
        <f>SUMIF(Comp!$A$75:$A$400,Areas!A445,Comp!$F$75:$F$400)</f>
        <v>8.1</v>
      </c>
      <c r="AG445" s="153">
        <f>SUMIF(Comp!$A$75:$A$400,Areas!A445,Comp!$G$75:$G$400)</f>
        <v>8.1</v>
      </c>
      <c r="AH445" s="153"/>
      <c r="AI445" s="153"/>
      <c r="AK445" s="133"/>
    </row>
    <row r="446" spans="1:37" s="134" customFormat="1">
      <c r="A446" s="140">
        <v>3.76</v>
      </c>
      <c r="B446" s="134" t="str">
        <f>Comp!B344</f>
        <v>EXEC DEPT (MASTER-AT-ARMS STOR)</v>
      </c>
      <c r="C446" s="149">
        <f>SUM(C447)</f>
        <v>5.4814126671455519</v>
      </c>
      <c r="D446" s="149">
        <f>SUM(D447)</f>
        <v>0</v>
      </c>
      <c r="E446" s="149">
        <f>SUM(E447)</f>
        <v>0</v>
      </c>
      <c r="F446" s="149">
        <f>SUM(F447)</f>
        <v>0</v>
      </c>
      <c r="G446" s="409"/>
      <c r="H446" s="409"/>
      <c r="I446" s="409"/>
      <c r="J446" s="409"/>
      <c r="K446" s="409"/>
      <c r="L446" s="409"/>
      <c r="M446" s="409"/>
      <c r="N446" s="409"/>
      <c r="O446" s="409"/>
      <c r="P446" s="149">
        <f t="shared" si="137"/>
        <v>9.5</v>
      </c>
      <c r="Q446" s="149">
        <f t="shared" si="138"/>
        <v>9.5</v>
      </c>
      <c r="S446" s="153">
        <f>SUMIF('Flt III'!D:D,A446,'Flt III'!E:E)/3.2808^2</f>
        <v>0</v>
      </c>
      <c r="T446" s="153">
        <f>SUMIF('Flt IIa'!A:A,A446,'Flt IIa'!E:E)/3.2808^2</f>
        <v>0</v>
      </c>
      <c r="U446" s="153">
        <f>SUMIF('OPC Des'!A:A,A446,'OPC Des'!F:F)/3.2808^2</f>
        <v>0</v>
      </c>
      <c r="V446" s="153">
        <f>SUMIF('LCS 5'!A:A,A446,'LCS 5'!E:E)</f>
        <v>0</v>
      </c>
      <c r="W446" s="153">
        <f>SUMIF('USCG Summary'!$A$25:$A$50,A446,'USCG Summary'!$D$25:$D$50)/3.2808^2</f>
        <v>0</v>
      </c>
      <c r="X446" s="153">
        <f>SUMIF('USCG Summary'!$A$25:$A$50,A446,'USCG Summary'!$I$25:$I$50)/3.2808^2</f>
        <v>0</v>
      </c>
      <c r="Y446" s="153">
        <f>SUMIF('USCG Summary'!$A$25:$A$50,A446,'USCG Summary'!$L$25:$L$50)/3.2808^2</f>
        <v>0</v>
      </c>
      <c r="Z446" s="153">
        <f>SUMIF('USCG Summary'!$A$25:$A$50,A446,'USCG Summary'!$O$25:$O$50)/3.2808^2</f>
        <v>0</v>
      </c>
      <c r="AA446" s="153">
        <f>SUMIF('USCG Summary'!$A$25:$A$50,A446,'USCG Summary'!$P$25:$P$50)/3.2808^2</f>
        <v>0</v>
      </c>
      <c r="AB446" s="153">
        <f>SUMIF('USCG Summary'!$A$25:$A$50,A446,'USCG Summary'!$Q$25:$Q$50)/3.2808^2</f>
        <v>0</v>
      </c>
      <c r="AC446" s="153">
        <f>SUMIF('USCG Summary'!$A$25:$A$50,A446,'USCG Summary'!$T$25:$T$50)/3.2808^2</f>
        <v>0</v>
      </c>
      <c r="AD446" s="153">
        <f>SUMIF('USCG Summary'!$A$25:$A$50,A446,'USCG Summary'!$W$25:$W$50)/3.2808^2</f>
        <v>0</v>
      </c>
      <c r="AE446" s="153">
        <f>SUMIF('USCG Summary'!$A$25:$A$50,A446,'USCG Summary'!$Z$25:$Z$50)/3.2808^2</f>
        <v>0</v>
      </c>
      <c r="AF446" s="153">
        <f>SUMIF(Comp!$A$75:$A$400,Areas!A446,Comp!$F$75:$F$400)</f>
        <v>9.5</v>
      </c>
      <c r="AG446" s="153">
        <f>SUMIF(Comp!$A$75:$A$400,Areas!A446,Comp!$G$75:$G$400)</f>
        <v>9.5</v>
      </c>
      <c r="AH446" s="153"/>
      <c r="AI446" s="153"/>
      <c r="AK446" s="133"/>
    </row>
    <row r="447" spans="1:37" s="148" customFormat="1">
      <c r="A447" s="146">
        <v>3.7600099999999999</v>
      </c>
      <c r="C447" s="147">
        <f t="shared" ref="C447:F447" si="145">S447</f>
        <v>5.4814126671455519</v>
      </c>
      <c r="D447" s="147">
        <f t="shared" si="145"/>
        <v>0</v>
      </c>
      <c r="E447" s="147">
        <f t="shared" si="145"/>
        <v>0</v>
      </c>
      <c r="F447" s="147">
        <f t="shared" si="145"/>
        <v>0</v>
      </c>
      <c r="G447" s="411"/>
      <c r="H447" s="411"/>
      <c r="I447" s="411"/>
      <c r="J447" s="411"/>
      <c r="K447" s="411"/>
      <c r="L447" s="411"/>
      <c r="M447" s="411"/>
      <c r="N447" s="411"/>
      <c r="O447" s="411"/>
      <c r="P447" s="147">
        <f t="shared" si="137"/>
        <v>0</v>
      </c>
      <c r="Q447" s="147">
        <f t="shared" si="138"/>
        <v>0</v>
      </c>
      <c r="S447" s="155">
        <f>SUMIF('Flt III'!D:D,A447,'Flt III'!E:E)/3.2808^2</f>
        <v>5.4814126671455519</v>
      </c>
      <c r="T447" s="155">
        <f>SUMIF('Flt IIa'!A:A,A447,'Flt IIa'!E:E)/3.2808^2</f>
        <v>0</v>
      </c>
      <c r="U447" s="155">
        <f>SUMIF('OPC Des'!A:A,A447,'OPC Des'!F:F)/3.2808^2</f>
        <v>0</v>
      </c>
      <c r="V447" s="155">
        <f>SUMIF('LCS 5'!A:A,A447,'LCS 5'!E:E)</f>
        <v>0</v>
      </c>
      <c r="W447" s="155">
        <f>SUMIF('USCG Summary'!$A$25:$A$50,A447,'USCG Summary'!$D$25:$D$50)/3.2808^2</f>
        <v>0</v>
      </c>
      <c r="X447" s="153">
        <f>SUMIF('USCG Summary'!$A$25:$A$50,A447,'USCG Summary'!$I$25:$I$50)/3.2808^2</f>
        <v>0</v>
      </c>
      <c r="Y447" s="153">
        <f>SUMIF('USCG Summary'!$A$25:$A$50,A447,'USCG Summary'!$L$25:$L$50)/3.2808^2</f>
        <v>0</v>
      </c>
      <c r="Z447" s="153">
        <f>SUMIF('USCG Summary'!$A$25:$A$50,A447,'USCG Summary'!$O$25:$O$50)/3.2808^2</f>
        <v>0</v>
      </c>
      <c r="AA447" s="153">
        <f>SUMIF('USCG Summary'!$A$25:$A$50,A447,'USCG Summary'!$P$25:$P$50)/3.2808^2</f>
        <v>0</v>
      </c>
      <c r="AB447" s="153">
        <f>SUMIF('USCG Summary'!$A$25:$A$50,A447,'USCG Summary'!$Q$25:$Q$50)/3.2808^2</f>
        <v>0</v>
      </c>
      <c r="AC447" s="153">
        <f>SUMIF('USCG Summary'!$A$25:$A$50,A447,'USCG Summary'!$T$25:$T$50)/3.2808^2</f>
        <v>0</v>
      </c>
      <c r="AD447" s="153">
        <f>SUMIF('USCG Summary'!$A$25:$A$50,A447,'USCG Summary'!$W$25:$W$50)/3.2808^2</f>
        <v>0</v>
      </c>
      <c r="AE447" s="153">
        <f>SUMIF('USCG Summary'!$A$25:$A$50,A447,'USCG Summary'!$Z$25:$Z$50)/3.2808^2</f>
        <v>0</v>
      </c>
      <c r="AF447" s="155">
        <f>SUMIF(Comp!$A$75:$A$400,Areas!A447,Comp!$F$75:$F$400)</f>
        <v>0</v>
      </c>
      <c r="AG447" s="155">
        <f>SUMIF(Comp!$A$75:$A$400,Areas!A447,Comp!$G$75:$G$400)</f>
        <v>0</v>
      </c>
      <c r="AH447" s="155"/>
      <c r="AI447" s="155"/>
      <c r="AK447" s="147"/>
    </row>
    <row r="448" spans="1:37" s="134" customFormat="1">
      <c r="A448" s="140">
        <v>3.78</v>
      </c>
      <c r="B448" s="134" t="str">
        <f>Comp!B345</f>
        <v>CLEANING GEAR STOWAGE</v>
      </c>
      <c r="C448" s="149">
        <f>SUM(C449)</f>
        <v>17.837817493083829</v>
      </c>
      <c r="D448" s="149">
        <f>T448</f>
        <v>18.766870487515281</v>
      </c>
      <c r="E448" s="149">
        <f>U448</f>
        <v>0</v>
      </c>
      <c r="F448" s="149">
        <f>V448</f>
        <v>0</v>
      </c>
      <c r="G448" s="409"/>
      <c r="H448" s="409"/>
      <c r="I448" s="409"/>
      <c r="J448" s="409"/>
      <c r="K448" s="409"/>
      <c r="L448" s="409"/>
      <c r="M448" s="409"/>
      <c r="N448" s="409"/>
      <c r="O448" s="409"/>
      <c r="P448" s="149">
        <f t="shared" si="137"/>
        <v>6</v>
      </c>
      <c r="Q448" s="149">
        <f t="shared" si="138"/>
        <v>6</v>
      </c>
      <c r="S448" s="153">
        <f>SUMIF('Flt III'!D:D,A448,'Flt III'!E:E)/3.2808^2</f>
        <v>0</v>
      </c>
      <c r="T448" s="153">
        <f>SUMIF('Flt IIa'!A:A,A448,'Flt IIa'!E:E)/3.2808^2</f>
        <v>18.766870487515281</v>
      </c>
      <c r="U448" s="153">
        <f>SUMIF('OPC Des'!A:A,A448,'OPC Des'!F:F)/3.2808^2</f>
        <v>0</v>
      </c>
      <c r="V448" s="153">
        <f>SUMIF('LCS 5'!A:A,A448,'LCS 5'!E:E)</f>
        <v>0</v>
      </c>
      <c r="W448" s="153">
        <f>SUMIF('USCG Summary'!$A$25:$A$50,A448,'USCG Summary'!$D$25:$D$50)/3.2808^2</f>
        <v>0</v>
      </c>
      <c r="X448" s="153">
        <f>SUMIF('USCG Summary'!$A$25:$A$50,A448,'USCG Summary'!$I$25:$I$50)/3.2808^2</f>
        <v>0</v>
      </c>
      <c r="Y448" s="153">
        <f>SUMIF('USCG Summary'!$A$25:$A$50,A448,'USCG Summary'!$L$25:$L$50)/3.2808^2</f>
        <v>0</v>
      </c>
      <c r="Z448" s="153">
        <f>SUMIF('USCG Summary'!$A$25:$A$50,A448,'USCG Summary'!$O$25:$O$50)/3.2808^2</f>
        <v>0</v>
      </c>
      <c r="AA448" s="153">
        <f>SUMIF('USCG Summary'!$A$25:$A$50,A448,'USCG Summary'!$P$25:$P$50)/3.2808^2</f>
        <v>0</v>
      </c>
      <c r="AB448" s="153">
        <f>SUMIF('USCG Summary'!$A$25:$A$50,A448,'USCG Summary'!$Q$25:$Q$50)/3.2808^2</f>
        <v>0</v>
      </c>
      <c r="AC448" s="153">
        <f>SUMIF('USCG Summary'!$A$25:$A$50,A448,'USCG Summary'!$T$25:$T$50)/3.2808^2</f>
        <v>0</v>
      </c>
      <c r="AD448" s="153">
        <f>SUMIF('USCG Summary'!$A$25:$A$50,A448,'USCG Summary'!$W$25:$W$50)/3.2808^2</f>
        <v>0</v>
      </c>
      <c r="AE448" s="153">
        <f>SUMIF('USCG Summary'!$A$25:$A$50,A448,'USCG Summary'!$Z$25:$Z$50)/3.2808^2</f>
        <v>0</v>
      </c>
      <c r="AF448" s="153">
        <f>SUMIF(Comp!$A$75:$A$400,Areas!A448,Comp!$F$75:$F$400)</f>
        <v>6</v>
      </c>
      <c r="AG448" s="153">
        <f>SUMIF(Comp!$A$75:$A$400,Areas!A448,Comp!$G$75:$G$400)</f>
        <v>6</v>
      </c>
      <c r="AH448" s="153"/>
      <c r="AI448" s="153"/>
      <c r="AK448" s="133"/>
    </row>
    <row r="449" spans="1:37" s="148" customFormat="1">
      <c r="A449" s="146" t="s">
        <v>750</v>
      </c>
      <c r="B449" s="146"/>
      <c r="C449" s="147">
        <f t="shared" ref="C449:F449" si="146">S449</f>
        <v>17.837817493083829</v>
      </c>
      <c r="D449" s="147">
        <f t="shared" si="146"/>
        <v>0</v>
      </c>
      <c r="E449" s="147">
        <f t="shared" si="146"/>
        <v>0</v>
      </c>
      <c r="F449" s="147">
        <f t="shared" si="146"/>
        <v>0</v>
      </c>
      <c r="G449" s="411"/>
      <c r="H449" s="411"/>
      <c r="I449" s="411"/>
      <c r="J449" s="411"/>
      <c r="K449" s="411"/>
      <c r="L449" s="411"/>
      <c r="M449" s="411"/>
      <c r="N449" s="411"/>
      <c r="O449" s="411"/>
      <c r="P449" s="147">
        <f t="shared" si="137"/>
        <v>0</v>
      </c>
      <c r="Q449" s="147">
        <f t="shared" si="138"/>
        <v>0</v>
      </c>
      <c r="S449" s="155">
        <f>SUMIF('Flt III'!D:D,A449,'Flt III'!E:E)/3.2808^2</f>
        <v>17.837817493083829</v>
      </c>
      <c r="T449" s="155">
        <f>SUMIF('Flt IIa'!A:A,A449,'Flt IIa'!E:E)/3.2808^2</f>
        <v>0</v>
      </c>
      <c r="U449" s="155">
        <f>SUMIF('OPC Des'!A:A,A449,'OPC Des'!F:F)/3.2808^2</f>
        <v>0</v>
      </c>
      <c r="V449" s="155">
        <f>SUMIF('LCS 5'!A:A,A449,'LCS 5'!E:E)</f>
        <v>0</v>
      </c>
      <c r="W449" s="155">
        <f>SUMIF('USCG Summary'!$A$25:$A$50,A449,'USCG Summary'!$D$25:$D$50)/3.2808^2</f>
        <v>0</v>
      </c>
      <c r="X449" s="153">
        <f>SUMIF('USCG Summary'!$A$25:$A$50,A449,'USCG Summary'!$I$25:$I$50)/3.2808^2</f>
        <v>0</v>
      </c>
      <c r="Y449" s="153">
        <f>SUMIF('USCG Summary'!$A$25:$A$50,A449,'USCG Summary'!$L$25:$L$50)/3.2808^2</f>
        <v>0</v>
      </c>
      <c r="Z449" s="153">
        <f>SUMIF('USCG Summary'!$A$25:$A$50,A449,'USCG Summary'!$O$25:$O$50)/3.2808^2</f>
        <v>0</v>
      </c>
      <c r="AA449" s="153">
        <f>SUMIF('USCG Summary'!$A$25:$A$50,A449,'USCG Summary'!$P$25:$P$50)/3.2808^2</f>
        <v>0</v>
      </c>
      <c r="AB449" s="153">
        <f>SUMIF('USCG Summary'!$A$25:$A$50,A449,'USCG Summary'!$Q$25:$Q$50)/3.2808^2</f>
        <v>0</v>
      </c>
      <c r="AC449" s="153">
        <f>SUMIF('USCG Summary'!$A$25:$A$50,A449,'USCG Summary'!$T$25:$T$50)/3.2808^2</f>
        <v>0</v>
      </c>
      <c r="AD449" s="153">
        <f>SUMIF('USCG Summary'!$A$25:$A$50,A449,'USCG Summary'!$W$25:$W$50)/3.2808^2</f>
        <v>0</v>
      </c>
      <c r="AE449" s="153">
        <f>SUMIF('USCG Summary'!$A$25:$A$50,A449,'USCG Summary'!$Z$25:$Z$50)/3.2808^2</f>
        <v>0</v>
      </c>
      <c r="AF449" s="155">
        <f>SUMIF(Comp!$A$75:$A$400,Areas!A449,Comp!$F$75:$F$400)</f>
        <v>0</v>
      </c>
      <c r="AG449" s="155">
        <f>SUMIF(Comp!$A$75:$A$400,Areas!A449,Comp!$G$75:$G$400)</f>
        <v>0</v>
      </c>
      <c r="AH449" s="155"/>
      <c r="AI449" s="155"/>
      <c r="AK449" s="147"/>
    </row>
    <row r="450" spans="1:37" s="139" customFormat="1">
      <c r="A450" s="137">
        <v>3.8</v>
      </c>
      <c r="B450" s="139" t="str">
        <f>Comp!B346</f>
        <v>ACCESS</v>
      </c>
      <c r="C450" s="150">
        <f>C451</f>
        <v>1023.5376839651279</v>
      </c>
      <c r="D450" s="150">
        <f>D451</f>
        <v>1004.39919227984</v>
      </c>
      <c r="E450" s="150">
        <f>E451</f>
        <v>648.29317951426549</v>
      </c>
      <c r="F450" s="150">
        <f>F451</f>
        <v>398.74928845550005</v>
      </c>
      <c r="G450" s="406">
        <f>W450</f>
        <v>0</v>
      </c>
      <c r="H450" s="406">
        <f t="shared" ref="H450:O450" si="147">X450</f>
        <v>16.119069453385649</v>
      </c>
      <c r="I450" s="406">
        <f t="shared" si="147"/>
        <v>16.630048600322947</v>
      </c>
      <c r="J450" s="406">
        <f t="shared" si="147"/>
        <v>13.564173718699163</v>
      </c>
      <c r="K450" s="406">
        <f t="shared" si="147"/>
        <v>72.280322966766775</v>
      </c>
      <c r="L450" s="406">
        <f t="shared" si="147"/>
        <v>95.135026629780427</v>
      </c>
      <c r="M450" s="406">
        <f t="shared" si="147"/>
        <v>92.626583544815517</v>
      </c>
      <c r="N450" s="406">
        <f t="shared" si="147"/>
        <v>211.49891418231948</v>
      </c>
      <c r="O450" s="406">
        <f t="shared" si="147"/>
        <v>282.43211030716066</v>
      </c>
      <c r="P450" s="138">
        <f t="shared" si="137"/>
        <v>1547.4</v>
      </c>
      <c r="Q450" s="138">
        <f t="shared" si="138"/>
        <v>1547.4</v>
      </c>
      <c r="S450" s="152">
        <f>SUMIF('Flt III'!D:D,A450,'Flt III'!E:E)/3.2808^2</f>
        <v>0</v>
      </c>
      <c r="T450" s="152">
        <f>SUMIF('Flt IIa'!A:A,A450,'Flt IIa'!E:E)/3.2808^2</f>
        <v>0</v>
      </c>
      <c r="U450" s="152">
        <f>SUMIF('OPC Des'!A:A,A450,'OPC Des'!F:F)/3.2808^2</f>
        <v>0</v>
      </c>
      <c r="V450" s="152">
        <f>SUMIF('LCS 5'!A:A,A450,'LCS 5'!E:E)</f>
        <v>0</v>
      </c>
      <c r="W450" s="152">
        <f>SUMIF('USCG Summary'!$A$25:$A$50,A450,'USCG Summary'!$D$25:$D$50)/3.2808^2</f>
        <v>0</v>
      </c>
      <c r="X450" s="153">
        <f>SUMIF('USCG Summary'!$A$25:$A$50,A450,'USCG Summary'!$I$25:$I$50)/3.2808^2</f>
        <v>16.119069453385649</v>
      </c>
      <c r="Y450" s="153">
        <f>SUMIF('USCG Summary'!$A$25:$A$50,A450,'USCG Summary'!$L$25:$L$50)/3.2808^2</f>
        <v>16.630048600322947</v>
      </c>
      <c r="Z450" s="153">
        <f>SUMIF('USCG Summary'!$A$25:$A$50,A450,'USCG Summary'!$O$25:$O$50)/3.2808^2</f>
        <v>13.564173718699163</v>
      </c>
      <c r="AA450" s="153">
        <f>SUMIF('USCG Summary'!$A$25:$A$50,A450,'USCG Summary'!$P$25:$P$50)/3.2808^2</f>
        <v>72.280322966766775</v>
      </c>
      <c r="AB450" s="153">
        <f>SUMIF('USCG Summary'!$A$25:$A$50,A450,'USCG Summary'!$Q$25:$Q$50)/3.2808^2</f>
        <v>95.135026629780427</v>
      </c>
      <c r="AC450" s="153">
        <f>SUMIF('USCG Summary'!$A$25:$A$50,A450,'USCG Summary'!$T$25:$T$50)/3.2808^2</f>
        <v>92.626583544815517</v>
      </c>
      <c r="AD450" s="153">
        <f>SUMIF('USCG Summary'!$A$25:$A$50,A450,'USCG Summary'!$W$25:$W$50)/3.2808^2</f>
        <v>211.49891418231948</v>
      </c>
      <c r="AE450" s="153">
        <f>SUMIF('USCG Summary'!$A$25:$A$50,A450,'USCG Summary'!$Z$25:$Z$50)/3.2808^2</f>
        <v>282.43211030716066</v>
      </c>
      <c r="AF450" s="152">
        <f>SUMIF(Comp!$A$75:$A$400,Areas!A450,Comp!$F$75:$F$400)</f>
        <v>1547.4</v>
      </c>
      <c r="AG450" s="152">
        <f>SUMIF(Comp!$A$75:$A$400,Areas!A450,Comp!$G$75:$G$400)</f>
        <v>1547.4</v>
      </c>
      <c r="AH450" s="152"/>
      <c r="AI450" s="152"/>
      <c r="AK450" s="138"/>
    </row>
    <row r="451" spans="1:37" s="134" customFormat="1">
      <c r="A451" s="140">
        <v>3.82</v>
      </c>
      <c r="B451" s="134" t="str">
        <f>Comp!B347</f>
        <v>INTERIOR</v>
      </c>
      <c r="C451" s="149">
        <f>C452+C455</f>
        <v>1023.5376839651279</v>
      </c>
      <c r="D451" s="149">
        <f>D452+D455</f>
        <v>1004.39919227984</v>
      </c>
      <c r="E451" s="149">
        <f>E452+E455</f>
        <v>648.29317951426549</v>
      </c>
      <c r="F451" s="149">
        <f>F452+F455</f>
        <v>398.74928845550005</v>
      </c>
      <c r="G451" s="409"/>
      <c r="H451" s="409"/>
      <c r="I451" s="409"/>
      <c r="J451" s="409"/>
      <c r="K451" s="409"/>
      <c r="L451" s="409"/>
      <c r="M451" s="409"/>
      <c r="N451" s="409"/>
      <c r="O451" s="409"/>
      <c r="P451" s="149">
        <f t="shared" si="137"/>
        <v>1547.4</v>
      </c>
      <c r="Q451" s="149">
        <f t="shared" si="138"/>
        <v>1547.4</v>
      </c>
      <c r="S451" s="153">
        <f>SUMIF('Flt III'!D:D,A451,'Flt III'!E:E)/3.2808^2</f>
        <v>0</v>
      </c>
      <c r="T451" s="153">
        <f>SUMIF('Flt IIa'!A:A,A451,'Flt IIa'!E:E)/3.2808^2</f>
        <v>0</v>
      </c>
      <c r="U451" s="153">
        <f>SUMIF('OPC Des'!A:A,A451,'OPC Des'!F:F)/3.2808^2</f>
        <v>0</v>
      </c>
      <c r="V451" s="153">
        <f>SUMIF('LCS 5'!A:A,A451,'LCS 5'!E:E)</f>
        <v>0</v>
      </c>
      <c r="W451" s="153">
        <f>SUMIF('USCG Summary'!$A$25:$A$50,A451,'USCG Summary'!$D$25:$D$50)/3.2808^2</f>
        <v>0</v>
      </c>
      <c r="X451" s="153">
        <f>SUMIF('USCG Summary'!$A$25:$A$50,A451,'USCG Summary'!$I$25:$I$50)/3.2808^2</f>
        <v>0</v>
      </c>
      <c r="Y451" s="153">
        <f>SUMIF('USCG Summary'!$A$25:$A$50,A451,'USCG Summary'!$L$25:$L$50)/3.2808^2</f>
        <v>0</v>
      </c>
      <c r="Z451" s="153">
        <f>SUMIF('USCG Summary'!$A$25:$A$50,A451,'USCG Summary'!$O$25:$O$50)/3.2808^2</f>
        <v>0</v>
      </c>
      <c r="AA451" s="153">
        <f>SUMIF('USCG Summary'!$A$25:$A$50,A451,'USCG Summary'!$P$25:$P$50)/3.2808^2</f>
        <v>0</v>
      </c>
      <c r="AB451" s="153">
        <f>SUMIF('USCG Summary'!$A$25:$A$50,A451,'USCG Summary'!$Q$25:$Q$50)/3.2808^2</f>
        <v>0</v>
      </c>
      <c r="AC451" s="153">
        <f>SUMIF('USCG Summary'!$A$25:$A$50,A451,'USCG Summary'!$T$25:$T$50)/3.2808^2</f>
        <v>0</v>
      </c>
      <c r="AD451" s="153">
        <f>SUMIF('USCG Summary'!$A$25:$A$50,A451,'USCG Summary'!$W$25:$W$50)/3.2808^2</f>
        <v>0</v>
      </c>
      <c r="AE451" s="153">
        <f>SUMIF('USCG Summary'!$A$25:$A$50,A451,'USCG Summary'!$Z$25:$Z$50)/3.2808^2</f>
        <v>0</v>
      </c>
      <c r="AF451" s="153">
        <f>SUMIF(Comp!$A$75:$A$400,Areas!A451,Comp!$F$75:$F$400)</f>
        <v>1547.4</v>
      </c>
      <c r="AG451" s="153">
        <f>SUMIF(Comp!$A$75:$A$400,Areas!A451,Comp!$G$75:$G$400)</f>
        <v>1547.4</v>
      </c>
      <c r="AH451" s="153"/>
      <c r="AI451" s="153"/>
      <c r="AK451" s="133"/>
    </row>
    <row r="452" spans="1:37" s="132" customFormat="1">
      <c r="A452" s="142">
        <v>3.8210000000000002</v>
      </c>
      <c r="B452" s="132" t="str">
        <f>Comp!B348</f>
        <v>NORMAL ACCESS</v>
      </c>
      <c r="C452" s="143">
        <f>SUM(C453:C454)</f>
        <v>1013.5039116252683</v>
      </c>
      <c r="D452" s="143">
        <f>T452</f>
        <v>992.87893514889004</v>
      </c>
      <c r="E452" s="143">
        <f>SUM(E453:E454)</f>
        <v>648.29317951426549</v>
      </c>
      <c r="F452" s="143">
        <f>SUM(F453:F454)</f>
        <v>391.77928845550002</v>
      </c>
      <c r="G452" s="410"/>
      <c r="H452" s="410"/>
      <c r="I452" s="410"/>
      <c r="J452" s="410"/>
      <c r="K452" s="410"/>
      <c r="L452" s="410"/>
      <c r="M452" s="410"/>
      <c r="N452" s="410"/>
      <c r="O452" s="410"/>
      <c r="P452" s="143">
        <f t="shared" si="137"/>
        <v>1531.1000000000001</v>
      </c>
      <c r="Q452" s="143">
        <f t="shared" si="138"/>
        <v>1531.1000000000001</v>
      </c>
      <c r="S452" s="154">
        <f>SUMIF('Flt III'!D:D,A452,'Flt III'!E:E)/3.2808^2</f>
        <v>0</v>
      </c>
      <c r="T452" s="154">
        <f>SUMIF('Flt IIa'!A:A,A452,'Flt IIa'!E:E)/3.2808^2</f>
        <v>992.87893514889004</v>
      </c>
      <c r="U452" s="154">
        <f>SUMIF('OPC Des'!A:A,A452,'OPC Des'!F:F)/3.2808^2</f>
        <v>0</v>
      </c>
      <c r="V452" s="154">
        <f>SUMIF('LCS 5'!A:A,A452,'LCS 5'!E:E)</f>
        <v>0</v>
      </c>
      <c r="W452" s="154">
        <f>SUMIF('USCG Summary'!$A$25:$A$50,A452,'USCG Summary'!$D$25:$D$50)/3.2808^2</f>
        <v>0</v>
      </c>
      <c r="X452" s="153">
        <f>SUMIF('USCG Summary'!$A$25:$A$50,A452,'USCG Summary'!$I$25:$I$50)/3.2808^2</f>
        <v>0</v>
      </c>
      <c r="Y452" s="153">
        <f>SUMIF('USCG Summary'!$A$25:$A$50,A452,'USCG Summary'!$L$25:$L$50)/3.2808^2</f>
        <v>0</v>
      </c>
      <c r="Z452" s="153">
        <f>SUMIF('USCG Summary'!$A$25:$A$50,A452,'USCG Summary'!$O$25:$O$50)/3.2808^2</f>
        <v>0</v>
      </c>
      <c r="AA452" s="153">
        <f>SUMIF('USCG Summary'!$A$25:$A$50,A452,'USCG Summary'!$P$25:$P$50)/3.2808^2</f>
        <v>0</v>
      </c>
      <c r="AB452" s="153">
        <f>SUMIF('USCG Summary'!$A$25:$A$50,A452,'USCG Summary'!$Q$25:$Q$50)/3.2808^2</f>
        <v>0</v>
      </c>
      <c r="AC452" s="153">
        <f>SUMIF('USCG Summary'!$A$25:$A$50,A452,'USCG Summary'!$T$25:$T$50)/3.2808^2</f>
        <v>0</v>
      </c>
      <c r="AD452" s="153">
        <f>SUMIF('USCG Summary'!$A$25:$A$50,A452,'USCG Summary'!$W$25:$W$50)/3.2808^2</f>
        <v>0</v>
      </c>
      <c r="AE452" s="153">
        <f>SUMIF('USCG Summary'!$A$25:$A$50,A452,'USCG Summary'!$Z$25:$Z$50)/3.2808^2</f>
        <v>0</v>
      </c>
      <c r="AF452" s="154">
        <f>SUMIF(Comp!$A$75:$A$400,Areas!A452,Comp!$F$75:$F$400)</f>
        <v>1531.1000000000001</v>
      </c>
      <c r="AG452" s="154">
        <f>SUMIF(Comp!$A$75:$A$400,Areas!A452,Comp!$G$75:$G$400)</f>
        <v>1531.1000000000001</v>
      </c>
      <c r="AH452" s="154"/>
      <c r="AI452" s="154"/>
      <c r="AK452" s="143"/>
    </row>
    <row r="453" spans="1:37" s="148" customFormat="1">
      <c r="A453" s="146" t="s">
        <v>696</v>
      </c>
      <c r="C453" s="147">
        <f t="shared" ref="C453:F454" si="148">S453</f>
        <v>907.31315436175362</v>
      </c>
      <c r="D453" s="147">
        <f t="shared" si="148"/>
        <v>0</v>
      </c>
      <c r="E453" s="147">
        <f t="shared" si="148"/>
        <v>644.6698728359828</v>
      </c>
      <c r="F453" s="147">
        <f t="shared" si="148"/>
        <v>306.94943923710002</v>
      </c>
      <c r="G453" s="411"/>
      <c r="H453" s="411"/>
      <c r="I453" s="411"/>
      <c r="J453" s="411"/>
      <c r="K453" s="411"/>
      <c r="L453" s="411"/>
      <c r="M453" s="411"/>
      <c r="N453" s="411"/>
      <c r="O453" s="411"/>
      <c r="P453" s="147">
        <f t="shared" si="137"/>
        <v>0</v>
      </c>
      <c r="Q453" s="147">
        <f t="shared" si="138"/>
        <v>0</v>
      </c>
      <c r="S453" s="155">
        <f>SUMIF('Flt III'!D:D,A453,'Flt III'!E:E)/3.2808^2</f>
        <v>907.31315436175362</v>
      </c>
      <c r="T453" s="155">
        <f>SUMIF('Flt IIa'!A:A,A453,'Flt IIa'!E:E)/3.2808^2</f>
        <v>0</v>
      </c>
      <c r="U453" s="155">
        <f>SUMIF('OPC Des'!A:A,A453,'OPC Des'!F:F)/3.2808^2</f>
        <v>644.6698728359828</v>
      </c>
      <c r="V453" s="155">
        <f>SUMIF('LCS 5'!A:A,A453,'LCS 5'!E:E)</f>
        <v>306.94943923710002</v>
      </c>
      <c r="W453" s="155">
        <f>SUMIF('USCG Summary'!$A$25:$A$50,A453,'USCG Summary'!$D$25:$D$50)/3.2808^2</f>
        <v>0</v>
      </c>
      <c r="X453" s="153">
        <f>SUMIF('USCG Summary'!$A$25:$A$50,A453,'USCG Summary'!$I$25:$I$50)/3.2808^2</f>
        <v>0</v>
      </c>
      <c r="Y453" s="153">
        <f>SUMIF('USCG Summary'!$A$25:$A$50,A453,'USCG Summary'!$L$25:$L$50)/3.2808^2</f>
        <v>0</v>
      </c>
      <c r="Z453" s="153">
        <f>SUMIF('USCG Summary'!$A$25:$A$50,A453,'USCG Summary'!$O$25:$O$50)/3.2808^2</f>
        <v>0</v>
      </c>
      <c r="AA453" s="153">
        <f>SUMIF('USCG Summary'!$A$25:$A$50,A453,'USCG Summary'!$P$25:$P$50)/3.2808^2</f>
        <v>0</v>
      </c>
      <c r="AB453" s="153">
        <f>SUMIF('USCG Summary'!$A$25:$A$50,A453,'USCG Summary'!$Q$25:$Q$50)/3.2808^2</f>
        <v>0</v>
      </c>
      <c r="AC453" s="153">
        <f>SUMIF('USCG Summary'!$A$25:$A$50,A453,'USCG Summary'!$T$25:$T$50)/3.2808^2</f>
        <v>0</v>
      </c>
      <c r="AD453" s="153">
        <f>SUMIF('USCG Summary'!$A$25:$A$50,A453,'USCG Summary'!$W$25:$W$50)/3.2808^2</f>
        <v>0</v>
      </c>
      <c r="AE453" s="153">
        <f>SUMIF('USCG Summary'!$A$25:$A$50,A453,'USCG Summary'!$Z$25:$Z$50)/3.2808^2</f>
        <v>0</v>
      </c>
      <c r="AF453" s="155">
        <f>SUMIF(Comp!$A$75:$A$400,Areas!A453,Comp!$F$75:$F$400)</f>
        <v>0</v>
      </c>
      <c r="AG453" s="155">
        <f>SUMIF(Comp!$A$75:$A$400,Areas!A453,Comp!$G$75:$G$400)</f>
        <v>0</v>
      </c>
      <c r="AH453" s="155"/>
      <c r="AI453" s="155"/>
      <c r="AK453" s="147"/>
    </row>
    <row r="454" spans="1:37" s="148" customFormat="1">
      <c r="A454" s="146" t="s">
        <v>670</v>
      </c>
      <c r="C454" s="147">
        <f t="shared" si="148"/>
        <v>106.19075726351467</v>
      </c>
      <c r="D454" s="147">
        <f t="shared" si="148"/>
        <v>0</v>
      </c>
      <c r="E454" s="147">
        <f t="shared" si="148"/>
        <v>3.6233066782826531</v>
      </c>
      <c r="F454" s="147">
        <f t="shared" si="148"/>
        <v>84.8298492184</v>
      </c>
      <c r="G454" s="411"/>
      <c r="H454" s="411"/>
      <c r="I454" s="411"/>
      <c r="J454" s="411"/>
      <c r="K454" s="411"/>
      <c r="L454" s="411"/>
      <c r="M454" s="411"/>
      <c r="N454" s="411"/>
      <c r="O454" s="411"/>
      <c r="P454" s="147">
        <f t="shared" si="137"/>
        <v>0</v>
      </c>
      <c r="Q454" s="147">
        <f t="shared" si="138"/>
        <v>0</v>
      </c>
      <c r="S454" s="155">
        <f>SUMIF('Flt III'!D:D,A454,'Flt III'!E:E)/3.2808^2</f>
        <v>106.19075726351467</v>
      </c>
      <c r="T454" s="155">
        <f>SUMIF('Flt IIa'!A:A,A454,'Flt IIa'!E:E)/3.2808^2</f>
        <v>0</v>
      </c>
      <c r="U454" s="155">
        <f>SUMIF('OPC Des'!A:A,A454,'OPC Des'!F:F)/3.2808^2</f>
        <v>3.6233066782826531</v>
      </c>
      <c r="V454" s="155">
        <f>SUMIF('LCS 5'!A:A,A454,'LCS 5'!E:E)</f>
        <v>84.8298492184</v>
      </c>
      <c r="W454" s="155">
        <f>SUMIF('USCG Summary'!$A$25:$A$50,A454,'USCG Summary'!$D$25:$D$50)/3.2808^2</f>
        <v>0</v>
      </c>
      <c r="X454" s="153">
        <f>SUMIF('USCG Summary'!$A$25:$A$50,A454,'USCG Summary'!$I$25:$I$50)/3.2808^2</f>
        <v>0</v>
      </c>
      <c r="Y454" s="153">
        <f>SUMIF('USCG Summary'!$A$25:$A$50,A454,'USCG Summary'!$L$25:$L$50)/3.2808^2</f>
        <v>0</v>
      </c>
      <c r="Z454" s="153">
        <f>SUMIF('USCG Summary'!$A$25:$A$50,A454,'USCG Summary'!$O$25:$O$50)/3.2808^2</f>
        <v>0</v>
      </c>
      <c r="AA454" s="153">
        <f>SUMIF('USCG Summary'!$A$25:$A$50,A454,'USCG Summary'!$P$25:$P$50)/3.2808^2</f>
        <v>0</v>
      </c>
      <c r="AB454" s="153">
        <f>SUMIF('USCG Summary'!$A$25:$A$50,A454,'USCG Summary'!$Q$25:$Q$50)/3.2808^2</f>
        <v>0</v>
      </c>
      <c r="AC454" s="153">
        <f>SUMIF('USCG Summary'!$A$25:$A$50,A454,'USCG Summary'!$T$25:$T$50)/3.2808^2</f>
        <v>0</v>
      </c>
      <c r="AD454" s="153">
        <f>SUMIF('USCG Summary'!$A$25:$A$50,A454,'USCG Summary'!$W$25:$W$50)/3.2808^2</f>
        <v>0</v>
      </c>
      <c r="AE454" s="153">
        <f>SUMIF('USCG Summary'!$A$25:$A$50,A454,'USCG Summary'!$Z$25:$Z$50)/3.2808^2</f>
        <v>0</v>
      </c>
      <c r="AF454" s="155">
        <f>SUMIF(Comp!$A$75:$A$400,Areas!A454,Comp!$F$75:$F$400)</f>
        <v>0</v>
      </c>
      <c r="AG454" s="155">
        <f>SUMIF(Comp!$A$75:$A$400,Areas!A454,Comp!$G$75:$G$400)</f>
        <v>0</v>
      </c>
      <c r="AH454" s="155"/>
      <c r="AI454" s="155"/>
      <c r="AK454" s="147"/>
    </row>
    <row r="455" spans="1:37" s="132" customFormat="1">
      <c r="A455" s="142">
        <v>3.8220000000000001</v>
      </c>
      <c r="B455" s="132" t="str">
        <f>Comp!B349</f>
        <v>ESCAPE ACCESS</v>
      </c>
      <c r="C455" s="143">
        <f>SUM(C456)</f>
        <v>10.033772339859654</v>
      </c>
      <c r="D455" s="143">
        <f>T455</f>
        <v>11.520257130949974</v>
      </c>
      <c r="E455" s="143">
        <f>U455</f>
        <v>0</v>
      </c>
      <c r="F455" s="143">
        <f>SUM(F456)</f>
        <v>6.97</v>
      </c>
      <c r="G455" s="410"/>
      <c r="H455" s="410"/>
      <c r="I455" s="410"/>
      <c r="J455" s="410"/>
      <c r="K455" s="410"/>
      <c r="L455" s="410"/>
      <c r="M455" s="410"/>
      <c r="N455" s="410"/>
      <c r="O455" s="410"/>
      <c r="P455" s="143">
        <f t="shared" si="137"/>
        <v>16.399999999999999</v>
      </c>
      <c r="Q455" s="143">
        <f t="shared" si="138"/>
        <v>16.399999999999999</v>
      </c>
      <c r="S455" s="154">
        <f>SUMIF('Flt III'!D:D,A455,'Flt III'!E:E)/3.2808^2</f>
        <v>0</v>
      </c>
      <c r="T455" s="154">
        <f>SUMIF('Flt IIa'!A:A,A455,'Flt IIa'!E:E)/3.2808^2</f>
        <v>11.520257130949974</v>
      </c>
      <c r="U455" s="154">
        <f>SUMIF('OPC Des'!A:A,A455,'OPC Des'!F:F)/3.2808^2</f>
        <v>0</v>
      </c>
      <c r="V455" s="154">
        <f>SUMIF('LCS 5'!A:A,A455,'LCS 5'!E:E)</f>
        <v>0</v>
      </c>
      <c r="W455" s="154">
        <f>SUMIF('USCG Summary'!$A$25:$A$50,A455,'USCG Summary'!$D$25:$D$50)/3.2808^2</f>
        <v>0</v>
      </c>
      <c r="X455" s="153">
        <f>SUMIF('USCG Summary'!$A$25:$A$50,A455,'USCG Summary'!$I$25:$I$50)/3.2808^2</f>
        <v>0</v>
      </c>
      <c r="Y455" s="153">
        <f>SUMIF('USCG Summary'!$A$25:$A$50,A455,'USCG Summary'!$L$25:$L$50)/3.2808^2</f>
        <v>0</v>
      </c>
      <c r="Z455" s="153">
        <f>SUMIF('USCG Summary'!$A$25:$A$50,A455,'USCG Summary'!$O$25:$O$50)/3.2808^2</f>
        <v>0</v>
      </c>
      <c r="AA455" s="153">
        <f>SUMIF('USCG Summary'!$A$25:$A$50,A455,'USCG Summary'!$P$25:$P$50)/3.2808^2</f>
        <v>0</v>
      </c>
      <c r="AB455" s="153">
        <f>SUMIF('USCG Summary'!$A$25:$A$50,A455,'USCG Summary'!$Q$25:$Q$50)/3.2808^2</f>
        <v>0</v>
      </c>
      <c r="AC455" s="153">
        <f>SUMIF('USCG Summary'!$A$25:$A$50,A455,'USCG Summary'!$T$25:$T$50)/3.2808^2</f>
        <v>0</v>
      </c>
      <c r="AD455" s="153">
        <f>SUMIF('USCG Summary'!$A$25:$A$50,A455,'USCG Summary'!$W$25:$W$50)/3.2808^2</f>
        <v>0</v>
      </c>
      <c r="AE455" s="153">
        <f>SUMIF('USCG Summary'!$A$25:$A$50,A455,'USCG Summary'!$Z$25:$Z$50)/3.2808^2</f>
        <v>0</v>
      </c>
      <c r="AF455" s="154">
        <f>SUMIF(Comp!$A$75:$A$400,Areas!A455,Comp!$F$75:$F$400)</f>
        <v>16.399999999999999</v>
      </c>
      <c r="AG455" s="154">
        <f>SUMIF(Comp!$A$75:$A$400,Areas!A455,Comp!$G$75:$G$400)</f>
        <v>16.399999999999999</v>
      </c>
      <c r="AH455" s="154"/>
      <c r="AI455" s="154"/>
      <c r="AK455" s="143"/>
    </row>
    <row r="456" spans="1:37" s="148" customFormat="1">
      <c r="A456" s="146" t="s">
        <v>662</v>
      </c>
      <c r="B456" s="146"/>
      <c r="C456" s="147">
        <f t="shared" ref="C456:F456" si="149">S456</f>
        <v>10.033772339859654</v>
      </c>
      <c r="D456" s="147">
        <f t="shared" si="149"/>
        <v>0</v>
      </c>
      <c r="E456" s="147">
        <f t="shared" si="149"/>
        <v>0</v>
      </c>
      <c r="F456" s="147">
        <f t="shared" si="149"/>
        <v>6.97</v>
      </c>
      <c r="G456" s="411"/>
      <c r="H456" s="411"/>
      <c r="I456" s="411"/>
      <c r="J456" s="411"/>
      <c r="K456" s="411"/>
      <c r="L456" s="411"/>
      <c r="M456" s="411"/>
      <c r="N456" s="411"/>
      <c r="O456" s="411"/>
      <c r="P456" s="147">
        <f t="shared" si="137"/>
        <v>0</v>
      </c>
      <c r="Q456" s="147">
        <f t="shared" si="138"/>
        <v>0</v>
      </c>
      <c r="S456" s="155">
        <f>SUMIF('Flt III'!D:D,A456,'Flt III'!E:E)/3.2808^2</f>
        <v>10.033772339859654</v>
      </c>
      <c r="T456" s="155">
        <f>SUMIF('Flt IIa'!A:A,A456,'Flt IIa'!E:E)/3.2808^2</f>
        <v>0</v>
      </c>
      <c r="U456" s="155">
        <f>SUMIF('OPC Des'!A:A,A456,'OPC Des'!F:F)/3.2808^2</f>
        <v>0</v>
      </c>
      <c r="V456" s="155">
        <f>SUMIF('LCS 5'!A:A,A456,'LCS 5'!E:E)</f>
        <v>6.97</v>
      </c>
      <c r="W456" s="155">
        <f>SUMIF('USCG Summary'!$A$25:$A$50,A456,'USCG Summary'!$D$25:$D$50)/3.2808^2</f>
        <v>0</v>
      </c>
      <c r="X456" s="153">
        <f>SUMIF('USCG Summary'!$A$25:$A$50,A456,'USCG Summary'!$I$25:$I$50)/3.2808^2</f>
        <v>0</v>
      </c>
      <c r="Y456" s="153">
        <f>SUMIF('USCG Summary'!$A$25:$A$50,A456,'USCG Summary'!$L$25:$L$50)/3.2808^2</f>
        <v>0</v>
      </c>
      <c r="Z456" s="153">
        <f>SUMIF('USCG Summary'!$A$25:$A$50,A456,'USCG Summary'!$O$25:$O$50)/3.2808^2</f>
        <v>0</v>
      </c>
      <c r="AA456" s="153">
        <f>SUMIF('USCG Summary'!$A$25:$A$50,A456,'USCG Summary'!$P$25:$P$50)/3.2808^2</f>
        <v>0</v>
      </c>
      <c r="AB456" s="153">
        <f>SUMIF('USCG Summary'!$A$25:$A$50,A456,'USCG Summary'!$Q$25:$Q$50)/3.2808^2</f>
        <v>0</v>
      </c>
      <c r="AC456" s="153">
        <f>SUMIF('USCG Summary'!$A$25:$A$50,A456,'USCG Summary'!$T$25:$T$50)/3.2808^2</f>
        <v>0</v>
      </c>
      <c r="AD456" s="153">
        <f>SUMIF('USCG Summary'!$A$25:$A$50,A456,'USCG Summary'!$W$25:$W$50)/3.2808^2</f>
        <v>0</v>
      </c>
      <c r="AE456" s="153">
        <f>SUMIF('USCG Summary'!$A$25:$A$50,A456,'USCG Summary'!$Z$25:$Z$50)/3.2808^2</f>
        <v>0</v>
      </c>
      <c r="AF456" s="155">
        <f>SUMIF(Comp!$A$75:$A$400,Areas!A456,Comp!$F$75:$F$400)</f>
        <v>0</v>
      </c>
      <c r="AG456" s="155">
        <f>SUMIF(Comp!$A$75:$A$400,Areas!A456,Comp!$G$75:$G$400)</f>
        <v>0</v>
      </c>
      <c r="AH456" s="155"/>
      <c r="AI456" s="155"/>
      <c r="AK456" s="147"/>
    </row>
    <row r="457" spans="1:37" s="139" customFormat="1">
      <c r="A457" s="137">
        <v>3.9</v>
      </c>
      <c r="B457" s="139" t="str">
        <f>Comp!B350</f>
        <v>TANKS</v>
      </c>
      <c r="C457" s="150">
        <f>C458+C470+C472+C474+C481+C484+C486</f>
        <v>82.128284707740136</v>
      </c>
      <c r="D457" s="150">
        <f>D458+D470+D472+D474+D481+D484+D486</f>
        <v>74.974576650617976</v>
      </c>
      <c r="E457" s="150">
        <f>E458+E470+E472+E474+E481+E484+E486</f>
        <v>21.739840069695916</v>
      </c>
      <c r="F457" s="150">
        <f>F458+F470+F472+F474+F481+F484+F486</f>
        <v>6.14</v>
      </c>
      <c r="G457" s="406">
        <f>W457</f>
        <v>0</v>
      </c>
      <c r="H457" s="406">
        <f t="shared" ref="H457:O457" si="150">X457</f>
        <v>0</v>
      </c>
      <c r="I457" s="406">
        <f t="shared" si="150"/>
        <v>0</v>
      </c>
      <c r="J457" s="406">
        <f t="shared" si="150"/>
        <v>0</v>
      </c>
      <c r="K457" s="406">
        <f t="shared" si="150"/>
        <v>0</v>
      </c>
      <c r="L457" s="406">
        <f t="shared" si="150"/>
        <v>0</v>
      </c>
      <c r="M457" s="406">
        <f t="shared" si="150"/>
        <v>0</v>
      </c>
      <c r="N457" s="406">
        <f t="shared" si="150"/>
        <v>0</v>
      </c>
      <c r="O457" s="406">
        <f t="shared" si="150"/>
        <v>0</v>
      </c>
      <c r="P457" s="138">
        <f t="shared" si="137"/>
        <v>19.600000000000001</v>
      </c>
      <c r="Q457" s="138">
        <f t="shared" si="138"/>
        <v>19.600000000000001</v>
      </c>
      <c r="S457" s="152">
        <f>SUMIF('Flt III'!D:D,A457,'Flt III'!E:E)/3.2808^2</f>
        <v>0</v>
      </c>
      <c r="T457" s="152">
        <f>SUMIF('Flt IIa'!A:A,A457,'Flt IIa'!E:E)/3.2808^2</f>
        <v>0</v>
      </c>
      <c r="U457" s="152">
        <f>SUMIF('OPC Des'!A:A,A457,'OPC Des'!F:F)/3.2808^2</f>
        <v>0</v>
      </c>
      <c r="V457" s="152">
        <f>SUMIF('LCS 5'!A:A,A457,'LCS 5'!E:E)</f>
        <v>0</v>
      </c>
      <c r="W457" s="152">
        <f>SUMIF('USCG Summary'!$A$25:$A$50,A457,'USCG Summary'!$D$25:$D$50)/3.2808^2</f>
        <v>0</v>
      </c>
      <c r="X457" s="153">
        <f>SUMIF('USCG Summary'!$A$25:$A$50,A457,'USCG Summary'!$I$25:$I$50)/3.2808^2</f>
        <v>0</v>
      </c>
      <c r="Y457" s="153">
        <f>SUMIF('USCG Summary'!$A$25:$A$50,A457,'USCG Summary'!$L$25:$L$50)/3.2808^2</f>
        <v>0</v>
      </c>
      <c r="Z457" s="153">
        <f>SUMIF('USCG Summary'!$A$25:$A$50,A457,'USCG Summary'!$O$25:$O$50)/3.2808^2</f>
        <v>0</v>
      </c>
      <c r="AA457" s="153">
        <f>SUMIF('USCG Summary'!$A$25:$A$50,A457,'USCG Summary'!$P$25:$P$50)/3.2808^2</f>
        <v>0</v>
      </c>
      <c r="AB457" s="153">
        <f>SUMIF('USCG Summary'!$A$25:$A$50,A457,'USCG Summary'!$Q$25:$Q$50)/3.2808^2</f>
        <v>0</v>
      </c>
      <c r="AC457" s="153">
        <f>SUMIF('USCG Summary'!$A$25:$A$50,A457,'USCG Summary'!$T$25:$T$50)/3.2808^2</f>
        <v>0</v>
      </c>
      <c r="AD457" s="153">
        <f>SUMIF('USCG Summary'!$A$25:$A$50,A457,'USCG Summary'!$W$25:$W$50)/3.2808^2</f>
        <v>0</v>
      </c>
      <c r="AE457" s="153">
        <f>SUMIF('USCG Summary'!$A$25:$A$50,A457,'USCG Summary'!$Z$25:$Z$50)/3.2808^2</f>
        <v>0</v>
      </c>
      <c r="AF457" s="152">
        <f>SUMIF(Comp!$A$75:$A$400,Areas!A457,Comp!$F$75:$F$400)</f>
        <v>19.600000000000001</v>
      </c>
      <c r="AG457" s="152">
        <f>SUMIF(Comp!$A$75:$A$400,Areas!A457,Comp!$G$75:$G$400)</f>
        <v>19.600000000000001</v>
      </c>
      <c r="AH457" s="152"/>
      <c r="AI457" s="152"/>
      <c r="AK457" s="138"/>
    </row>
    <row r="458" spans="1:37" s="134" customFormat="1">
      <c r="A458" s="140">
        <v>3.91</v>
      </c>
      <c r="B458" s="134" t="str">
        <f>Comp!B351</f>
        <v>SHIP PROP SYS TNKG</v>
      </c>
      <c r="C458" s="149">
        <f>C459+C469</f>
        <v>2.6013483844080585</v>
      </c>
      <c r="D458" s="149">
        <f>D459+D469</f>
        <v>0.74324239554515958</v>
      </c>
      <c r="E458" s="149">
        <f>E459+E469</f>
        <v>7.1537080571221612</v>
      </c>
      <c r="F458" s="149">
        <f>F459+F469</f>
        <v>0</v>
      </c>
      <c r="G458" s="409"/>
      <c r="H458" s="409"/>
      <c r="I458" s="409"/>
      <c r="J458" s="409"/>
      <c r="K458" s="409"/>
      <c r="L458" s="409"/>
      <c r="M458" s="409"/>
      <c r="N458" s="409"/>
      <c r="O458" s="409"/>
      <c r="P458" s="149">
        <f t="shared" si="137"/>
        <v>0</v>
      </c>
      <c r="Q458" s="149">
        <f t="shared" si="138"/>
        <v>0</v>
      </c>
      <c r="S458" s="153">
        <f>SUMIF('Flt III'!D:D,A458,'Flt III'!E:E)/3.2808^2</f>
        <v>0</v>
      </c>
      <c r="T458" s="153">
        <f>SUMIF('Flt IIa'!A:A,A458,'Flt IIa'!E:E)/3.2808^2</f>
        <v>0</v>
      </c>
      <c r="U458" s="153">
        <f>SUMIF('OPC Des'!A:A,A458,'OPC Des'!F:F)/3.2808^2</f>
        <v>0</v>
      </c>
      <c r="V458" s="153">
        <f>SUMIF('LCS 5'!A:A,A458,'LCS 5'!E:E)</f>
        <v>0</v>
      </c>
      <c r="W458" s="153">
        <f>SUMIF('USCG Summary'!$A$25:$A$50,A458,'USCG Summary'!$D$25:$D$50)/3.2808^2</f>
        <v>0</v>
      </c>
      <c r="X458" s="153">
        <f>SUMIF('USCG Summary'!$A$25:$A$50,A458,'USCG Summary'!$I$25:$I$50)/3.2808^2</f>
        <v>0</v>
      </c>
      <c r="Y458" s="153">
        <f>SUMIF('USCG Summary'!$A$25:$A$50,A458,'USCG Summary'!$L$25:$L$50)/3.2808^2</f>
        <v>0</v>
      </c>
      <c r="Z458" s="153">
        <f>SUMIF('USCG Summary'!$A$25:$A$50,A458,'USCG Summary'!$O$25:$O$50)/3.2808^2</f>
        <v>0</v>
      </c>
      <c r="AA458" s="153">
        <f>SUMIF('USCG Summary'!$A$25:$A$50,A458,'USCG Summary'!$P$25:$P$50)/3.2808^2</f>
        <v>0</v>
      </c>
      <c r="AB458" s="153">
        <f>SUMIF('USCG Summary'!$A$25:$A$50,A458,'USCG Summary'!$Q$25:$Q$50)/3.2808^2</f>
        <v>0</v>
      </c>
      <c r="AC458" s="153">
        <f>SUMIF('USCG Summary'!$A$25:$A$50,A458,'USCG Summary'!$T$25:$T$50)/3.2808^2</f>
        <v>0</v>
      </c>
      <c r="AD458" s="153">
        <f>SUMIF('USCG Summary'!$A$25:$A$50,A458,'USCG Summary'!$W$25:$W$50)/3.2808^2</f>
        <v>0</v>
      </c>
      <c r="AE458" s="153">
        <f>SUMIF('USCG Summary'!$A$25:$A$50,A458,'USCG Summary'!$Z$25:$Z$50)/3.2808^2</f>
        <v>0</v>
      </c>
      <c r="AF458" s="153">
        <f>SUMIF(Comp!$A$75:$A$400,Areas!A458,Comp!$F$75:$F$400)</f>
        <v>0</v>
      </c>
      <c r="AG458" s="153">
        <f>SUMIF(Comp!$A$75:$A$400,Areas!A458,Comp!$G$75:$G$400)</f>
        <v>0</v>
      </c>
      <c r="AH458" s="153"/>
      <c r="AI458" s="153"/>
      <c r="AK458" s="133"/>
    </row>
    <row r="459" spans="1:37" s="132" customFormat="1">
      <c r="A459" s="142">
        <v>3.911</v>
      </c>
      <c r="B459" s="132" t="str">
        <f>Comp!B352</f>
        <v>SHIP ENDUR FUEL TNKG</v>
      </c>
      <c r="C459" s="143">
        <f>SUM(C460:C468)</f>
        <v>2.6013483844080585</v>
      </c>
      <c r="D459" s="143">
        <f>T459</f>
        <v>0.74324239554515958</v>
      </c>
      <c r="E459" s="143">
        <f>SUM(E460:E468)</f>
        <v>7.1537080571221612</v>
      </c>
      <c r="F459" s="143">
        <f>SUM(F460:F468)</f>
        <v>0</v>
      </c>
      <c r="G459" s="410"/>
      <c r="H459" s="410"/>
      <c r="I459" s="410"/>
      <c r="J459" s="410"/>
      <c r="K459" s="410"/>
      <c r="L459" s="410"/>
      <c r="M459" s="410"/>
      <c r="N459" s="410"/>
      <c r="O459" s="410"/>
      <c r="P459" s="143">
        <f t="shared" si="137"/>
        <v>0</v>
      </c>
      <c r="Q459" s="143">
        <f t="shared" si="138"/>
        <v>0</v>
      </c>
      <c r="S459" s="154">
        <f>SUMIF('Flt III'!D:D,A459,'Flt III'!E:E)/3.2808^2</f>
        <v>0</v>
      </c>
      <c r="T459" s="154">
        <f>SUMIF('Flt IIa'!A:A,A459,'Flt IIa'!E:E)/3.2808^2</f>
        <v>0.74324239554515958</v>
      </c>
      <c r="U459" s="154">
        <f>SUMIF('OPC Des'!A:A,A459,'OPC Des'!F:F)/3.2808^2</f>
        <v>0</v>
      </c>
      <c r="V459" s="154">
        <f>SUMIF('LCS 5'!A:A,A459,'LCS 5'!E:E)</f>
        <v>0</v>
      </c>
      <c r="W459" s="154">
        <f>SUMIF('USCG Summary'!$A$25:$A$50,A459,'USCG Summary'!$D$25:$D$50)/3.2808^2</f>
        <v>0</v>
      </c>
      <c r="X459" s="153">
        <f>SUMIF('USCG Summary'!$A$25:$A$50,A459,'USCG Summary'!$I$25:$I$50)/3.2808^2</f>
        <v>0</v>
      </c>
      <c r="Y459" s="153">
        <f>SUMIF('USCG Summary'!$A$25:$A$50,A459,'USCG Summary'!$L$25:$L$50)/3.2808^2</f>
        <v>0</v>
      </c>
      <c r="Z459" s="153">
        <f>SUMIF('USCG Summary'!$A$25:$A$50,A459,'USCG Summary'!$O$25:$O$50)/3.2808^2</f>
        <v>0</v>
      </c>
      <c r="AA459" s="153">
        <f>SUMIF('USCG Summary'!$A$25:$A$50,A459,'USCG Summary'!$P$25:$P$50)/3.2808^2</f>
        <v>0</v>
      </c>
      <c r="AB459" s="153">
        <f>SUMIF('USCG Summary'!$A$25:$A$50,A459,'USCG Summary'!$Q$25:$Q$50)/3.2808^2</f>
        <v>0</v>
      </c>
      <c r="AC459" s="153">
        <f>SUMIF('USCG Summary'!$A$25:$A$50,A459,'USCG Summary'!$T$25:$T$50)/3.2808^2</f>
        <v>0</v>
      </c>
      <c r="AD459" s="153">
        <f>SUMIF('USCG Summary'!$A$25:$A$50,A459,'USCG Summary'!$W$25:$W$50)/3.2808^2</f>
        <v>0</v>
      </c>
      <c r="AE459" s="153">
        <f>SUMIF('USCG Summary'!$A$25:$A$50,A459,'USCG Summary'!$Z$25:$Z$50)/3.2808^2</f>
        <v>0</v>
      </c>
      <c r="AF459" s="154">
        <f>SUMIF(Comp!$A$75:$A$400,Areas!A459,Comp!$F$75:$F$400)</f>
        <v>0</v>
      </c>
      <c r="AG459" s="154">
        <f>SUMIF(Comp!$A$75:$A$400,Areas!A459,Comp!$G$75:$G$400)</f>
        <v>0</v>
      </c>
      <c r="AH459" s="154"/>
      <c r="AI459" s="154"/>
      <c r="AK459" s="143"/>
    </row>
    <row r="460" spans="1:37" s="148" customFormat="1">
      <c r="A460" s="146">
        <v>3.9110100000000001</v>
      </c>
      <c r="B460" s="148" t="str">
        <f>Comp!B353</f>
        <v>ENDUR FUEL TANK</v>
      </c>
      <c r="C460" s="147">
        <f t="shared" ref="C460:F469" si="151">S460</f>
        <v>0</v>
      </c>
      <c r="D460" s="147">
        <f t="shared" si="151"/>
        <v>0</v>
      </c>
      <c r="E460" s="147">
        <f t="shared" si="151"/>
        <v>0</v>
      </c>
      <c r="F460" s="147">
        <f t="shared" si="151"/>
        <v>0</v>
      </c>
      <c r="G460" s="411"/>
      <c r="H460" s="411"/>
      <c r="I460" s="411"/>
      <c r="J460" s="411"/>
      <c r="K460" s="411"/>
      <c r="L460" s="411"/>
      <c r="M460" s="411"/>
      <c r="N460" s="411"/>
      <c r="O460" s="411"/>
      <c r="P460" s="147">
        <f t="shared" si="137"/>
        <v>0</v>
      </c>
      <c r="Q460" s="147">
        <f t="shared" si="138"/>
        <v>0</v>
      </c>
      <c r="S460" s="155">
        <f>SUMIF('Flt III'!D:D,A460,'Flt III'!E:E)/3.2808^2</f>
        <v>0</v>
      </c>
      <c r="T460" s="155">
        <f>SUMIF('Flt IIa'!A:A,A460,'Flt IIa'!E:E)/3.2808^2</f>
        <v>0</v>
      </c>
      <c r="U460" s="155">
        <f>SUMIF('OPC Des'!A:A,A460,'OPC Des'!F:F)/3.2808^2</f>
        <v>0</v>
      </c>
      <c r="V460" s="155">
        <f>SUMIF('LCS 5'!A:A,A460,'LCS 5'!E:E)</f>
        <v>0</v>
      </c>
      <c r="W460" s="155">
        <f>SUMIF('USCG Summary'!$A$25:$A$50,A460,'USCG Summary'!$D$25:$D$50)/3.2808^2</f>
        <v>0</v>
      </c>
      <c r="X460" s="153">
        <f>SUMIF('USCG Summary'!$A$25:$A$50,A460,'USCG Summary'!$I$25:$I$50)/3.2808^2</f>
        <v>0</v>
      </c>
      <c r="Y460" s="153">
        <f>SUMIF('USCG Summary'!$A$25:$A$50,A460,'USCG Summary'!$L$25:$L$50)/3.2808^2</f>
        <v>0</v>
      </c>
      <c r="Z460" s="153">
        <f>SUMIF('USCG Summary'!$A$25:$A$50,A460,'USCG Summary'!$O$25:$O$50)/3.2808^2</f>
        <v>0</v>
      </c>
      <c r="AA460" s="153">
        <f>SUMIF('USCG Summary'!$A$25:$A$50,A460,'USCG Summary'!$P$25:$P$50)/3.2808^2</f>
        <v>0</v>
      </c>
      <c r="AB460" s="153">
        <f>SUMIF('USCG Summary'!$A$25:$A$50,A460,'USCG Summary'!$Q$25:$Q$50)/3.2808^2</f>
        <v>0</v>
      </c>
      <c r="AC460" s="153">
        <f>SUMIF('USCG Summary'!$A$25:$A$50,A460,'USCG Summary'!$T$25:$T$50)/3.2808^2</f>
        <v>0</v>
      </c>
      <c r="AD460" s="153">
        <f>SUMIF('USCG Summary'!$A$25:$A$50,A460,'USCG Summary'!$W$25:$W$50)/3.2808^2</f>
        <v>0</v>
      </c>
      <c r="AE460" s="153">
        <f>SUMIF('USCG Summary'!$A$25:$A$50,A460,'USCG Summary'!$Z$25:$Z$50)/3.2808^2</f>
        <v>0</v>
      </c>
      <c r="AF460" s="155">
        <f>SUMIF(Comp!$A$75:$A$400,Areas!A460,Comp!$F$75:$F$400)</f>
        <v>0</v>
      </c>
      <c r="AG460" s="155">
        <f>SUMIF(Comp!$A$75:$A$400,Areas!A460,Comp!$G$75:$G$400)</f>
        <v>0</v>
      </c>
      <c r="AH460" s="155"/>
      <c r="AI460" s="155"/>
      <c r="AK460" s="147"/>
    </row>
    <row r="461" spans="1:37" s="148" customFormat="1">
      <c r="A461" s="146">
        <v>3.9110399999999998</v>
      </c>
      <c r="B461" s="148" t="str">
        <f>Comp!B354</f>
        <v>FUEL OR BALLAST TANK</v>
      </c>
      <c r="C461" s="147">
        <f t="shared" si="151"/>
        <v>0</v>
      </c>
      <c r="D461" s="147">
        <f t="shared" si="151"/>
        <v>0</v>
      </c>
      <c r="E461" s="147">
        <f t="shared" si="151"/>
        <v>0</v>
      </c>
      <c r="F461" s="147">
        <f t="shared" si="151"/>
        <v>0</v>
      </c>
      <c r="G461" s="411"/>
      <c r="H461" s="411"/>
      <c r="I461" s="411"/>
      <c r="J461" s="411"/>
      <c r="K461" s="411"/>
      <c r="L461" s="411"/>
      <c r="M461" s="411"/>
      <c r="N461" s="411"/>
      <c r="O461" s="411"/>
      <c r="P461" s="147">
        <f t="shared" si="137"/>
        <v>0</v>
      </c>
      <c r="Q461" s="147">
        <f t="shared" si="138"/>
        <v>0</v>
      </c>
      <c r="S461" s="155">
        <f>SUMIF('Flt III'!D:D,A461,'Flt III'!E:E)/3.2808^2</f>
        <v>0</v>
      </c>
      <c r="T461" s="155">
        <f>SUMIF('Flt IIa'!A:A,A461,'Flt IIa'!E:E)/3.2808^2</f>
        <v>0</v>
      </c>
      <c r="U461" s="155">
        <f>SUMIF('OPC Des'!A:A,A461,'OPC Des'!F:F)/3.2808^2</f>
        <v>0</v>
      </c>
      <c r="V461" s="155">
        <f>SUMIF('LCS 5'!A:A,A461,'LCS 5'!E:E)</f>
        <v>0</v>
      </c>
      <c r="W461" s="155">
        <f>SUMIF('USCG Summary'!$A$25:$A$50,A461,'USCG Summary'!$D$25:$D$50)/3.2808^2</f>
        <v>0</v>
      </c>
      <c r="X461" s="153">
        <f>SUMIF('USCG Summary'!$A$25:$A$50,A461,'USCG Summary'!$I$25:$I$50)/3.2808^2</f>
        <v>0</v>
      </c>
      <c r="Y461" s="153">
        <f>SUMIF('USCG Summary'!$A$25:$A$50,A461,'USCG Summary'!$L$25:$L$50)/3.2808^2</f>
        <v>0</v>
      </c>
      <c r="Z461" s="153">
        <f>SUMIF('USCG Summary'!$A$25:$A$50,A461,'USCG Summary'!$O$25:$O$50)/3.2808^2</f>
        <v>0</v>
      </c>
      <c r="AA461" s="153">
        <f>SUMIF('USCG Summary'!$A$25:$A$50,A461,'USCG Summary'!$P$25:$P$50)/3.2808^2</f>
        <v>0</v>
      </c>
      <c r="AB461" s="153">
        <f>SUMIF('USCG Summary'!$A$25:$A$50,A461,'USCG Summary'!$Q$25:$Q$50)/3.2808^2</f>
        <v>0</v>
      </c>
      <c r="AC461" s="153">
        <f>SUMIF('USCG Summary'!$A$25:$A$50,A461,'USCG Summary'!$T$25:$T$50)/3.2808^2</f>
        <v>0</v>
      </c>
      <c r="AD461" s="153">
        <f>SUMIF('USCG Summary'!$A$25:$A$50,A461,'USCG Summary'!$W$25:$W$50)/3.2808^2</f>
        <v>0</v>
      </c>
      <c r="AE461" s="153">
        <f>SUMIF('USCG Summary'!$A$25:$A$50,A461,'USCG Summary'!$Z$25:$Z$50)/3.2808^2</f>
        <v>0</v>
      </c>
      <c r="AF461" s="155">
        <f>SUMIF(Comp!$A$75:$A$400,Areas!A461,Comp!$F$75:$F$400)</f>
        <v>0</v>
      </c>
      <c r="AG461" s="155">
        <f>SUMIF(Comp!$A$75:$A$400,Areas!A461,Comp!$G$75:$G$400)</f>
        <v>0</v>
      </c>
      <c r="AH461" s="155"/>
      <c r="AI461" s="155"/>
      <c r="AK461" s="147"/>
    </row>
    <row r="462" spans="1:37" s="148" customFormat="1">
      <c r="A462" s="146" t="s">
        <v>606</v>
      </c>
      <c r="C462" s="147">
        <f t="shared" si="151"/>
        <v>0</v>
      </c>
      <c r="D462" s="147">
        <f t="shared" si="151"/>
        <v>0</v>
      </c>
      <c r="E462" s="147">
        <f t="shared" si="151"/>
        <v>0</v>
      </c>
      <c r="F462" s="147">
        <f t="shared" si="151"/>
        <v>0</v>
      </c>
      <c r="G462" s="411"/>
      <c r="H462" s="411"/>
      <c r="I462" s="411"/>
      <c r="J462" s="411"/>
      <c r="K462" s="411"/>
      <c r="L462" s="411"/>
      <c r="M462" s="411"/>
      <c r="N462" s="411"/>
      <c r="O462" s="411"/>
      <c r="P462" s="147">
        <f t="shared" si="137"/>
        <v>0</v>
      </c>
      <c r="Q462" s="147">
        <f t="shared" si="138"/>
        <v>0</v>
      </c>
      <c r="S462" s="155">
        <f>SUMIF('Flt III'!D:D,A462,'Flt III'!E:E)/3.2808^2</f>
        <v>0</v>
      </c>
      <c r="T462" s="155">
        <f>SUMIF('Flt IIa'!A:A,A462,'Flt IIa'!E:E)/3.2808^2</f>
        <v>0</v>
      </c>
      <c r="U462" s="155">
        <f>SUMIF('OPC Des'!A:A,A462,'OPC Des'!F:F)/3.2808^2</f>
        <v>0</v>
      </c>
      <c r="V462" s="155">
        <f>SUMIF('LCS 5'!A:A,A462,'LCS 5'!E:E)</f>
        <v>0</v>
      </c>
      <c r="W462" s="155">
        <f>SUMIF('USCG Summary'!$A$25:$A$50,A462,'USCG Summary'!$D$25:$D$50)/3.2808^2</f>
        <v>0</v>
      </c>
      <c r="X462" s="153">
        <f>SUMIF('USCG Summary'!$A$25:$A$50,A462,'USCG Summary'!$I$25:$I$50)/3.2808^2</f>
        <v>0</v>
      </c>
      <c r="Y462" s="153">
        <f>SUMIF('USCG Summary'!$A$25:$A$50,A462,'USCG Summary'!$L$25:$L$50)/3.2808^2</f>
        <v>0</v>
      </c>
      <c r="Z462" s="153">
        <f>SUMIF('USCG Summary'!$A$25:$A$50,A462,'USCG Summary'!$O$25:$O$50)/3.2808^2</f>
        <v>0</v>
      </c>
      <c r="AA462" s="153">
        <f>SUMIF('USCG Summary'!$A$25:$A$50,A462,'USCG Summary'!$P$25:$P$50)/3.2808^2</f>
        <v>0</v>
      </c>
      <c r="AB462" s="153">
        <f>SUMIF('USCG Summary'!$A$25:$A$50,A462,'USCG Summary'!$Q$25:$Q$50)/3.2808^2</f>
        <v>0</v>
      </c>
      <c r="AC462" s="153">
        <f>SUMIF('USCG Summary'!$A$25:$A$50,A462,'USCG Summary'!$T$25:$T$50)/3.2808^2</f>
        <v>0</v>
      </c>
      <c r="AD462" s="153">
        <f>SUMIF('USCG Summary'!$A$25:$A$50,A462,'USCG Summary'!$W$25:$W$50)/3.2808^2</f>
        <v>0</v>
      </c>
      <c r="AE462" s="153">
        <f>SUMIF('USCG Summary'!$A$25:$A$50,A462,'USCG Summary'!$Z$25:$Z$50)/3.2808^2</f>
        <v>0</v>
      </c>
      <c r="AF462" s="155">
        <f>SUMIF(Comp!$A$75:$A$400,Areas!A462,Comp!$F$75:$F$400)</f>
        <v>0</v>
      </c>
      <c r="AG462" s="155">
        <f>SUMIF(Comp!$A$75:$A$400,Areas!A462,Comp!$G$75:$G$400)</f>
        <v>0</v>
      </c>
      <c r="AH462" s="155"/>
      <c r="AI462" s="155"/>
      <c r="AK462" s="147"/>
    </row>
    <row r="463" spans="1:37" s="148" customFormat="1">
      <c r="A463" s="146" t="s">
        <v>604</v>
      </c>
      <c r="C463" s="147">
        <f t="shared" si="151"/>
        <v>0.37162119777257979</v>
      </c>
      <c r="D463" s="147">
        <f t="shared" si="151"/>
        <v>0</v>
      </c>
      <c r="E463" s="147">
        <f t="shared" si="151"/>
        <v>0</v>
      </c>
      <c r="F463" s="147">
        <f t="shared" si="151"/>
        <v>0</v>
      </c>
      <c r="G463" s="411"/>
      <c r="H463" s="411"/>
      <c r="I463" s="411"/>
      <c r="J463" s="411"/>
      <c r="K463" s="411"/>
      <c r="L463" s="411"/>
      <c r="M463" s="411"/>
      <c r="N463" s="411"/>
      <c r="O463" s="411"/>
      <c r="P463" s="147">
        <f t="shared" si="137"/>
        <v>0</v>
      </c>
      <c r="Q463" s="147">
        <f t="shared" si="138"/>
        <v>0</v>
      </c>
      <c r="S463" s="155">
        <f>SUMIF('Flt III'!D:D,A463,'Flt III'!E:E)/3.2808^2</f>
        <v>0.37162119777257979</v>
      </c>
      <c r="T463" s="155">
        <f>SUMIF('Flt IIa'!A:A,A463,'Flt IIa'!E:E)/3.2808^2</f>
        <v>0</v>
      </c>
      <c r="U463" s="155">
        <f>SUMIF('OPC Des'!A:A,A463,'OPC Des'!F:F)/3.2808^2</f>
        <v>0</v>
      </c>
      <c r="V463" s="155">
        <f>SUMIF('LCS 5'!A:A,A463,'LCS 5'!E:E)</f>
        <v>0</v>
      </c>
      <c r="W463" s="155">
        <f>SUMIF('USCG Summary'!$A$25:$A$50,A463,'USCG Summary'!$D$25:$D$50)/3.2808^2</f>
        <v>0</v>
      </c>
      <c r="X463" s="153">
        <f>SUMIF('USCG Summary'!$A$25:$A$50,A463,'USCG Summary'!$I$25:$I$50)/3.2808^2</f>
        <v>0</v>
      </c>
      <c r="Y463" s="153">
        <f>SUMIF('USCG Summary'!$A$25:$A$50,A463,'USCG Summary'!$L$25:$L$50)/3.2808^2</f>
        <v>0</v>
      </c>
      <c r="Z463" s="153">
        <f>SUMIF('USCG Summary'!$A$25:$A$50,A463,'USCG Summary'!$O$25:$O$50)/3.2808^2</f>
        <v>0</v>
      </c>
      <c r="AA463" s="153">
        <f>SUMIF('USCG Summary'!$A$25:$A$50,A463,'USCG Summary'!$P$25:$P$50)/3.2808^2</f>
        <v>0</v>
      </c>
      <c r="AB463" s="153">
        <f>SUMIF('USCG Summary'!$A$25:$A$50,A463,'USCG Summary'!$Q$25:$Q$50)/3.2808^2</f>
        <v>0</v>
      </c>
      <c r="AC463" s="153">
        <f>SUMIF('USCG Summary'!$A$25:$A$50,A463,'USCG Summary'!$T$25:$T$50)/3.2808^2</f>
        <v>0</v>
      </c>
      <c r="AD463" s="153">
        <f>SUMIF('USCG Summary'!$A$25:$A$50,A463,'USCG Summary'!$W$25:$W$50)/3.2808^2</f>
        <v>0</v>
      </c>
      <c r="AE463" s="153">
        <f>SUMIF('USCG Summary'!$A$25:$A$50,A463,'USCG Summary'!$Z$25:$Z$50)/3.2808^2</f>
        <v>0</v>
      </c>
      <c r="AF463" s="155">
        <f>SUMIF(Comp!$A$75:$A$400,Areas!A463,Comp!$F$75:$F$400)</f>
        <v>0</v>
      </c>
      <c r="AG463" s="155">
        <f>SUMIF(Comp!$A$75:$A$400,Areas!A463,Comp!$G$75:$G$400)</f>
        <v>0</v>
      </c>
      <c r="AH463" s="155"/>
      <c r="AI463" s="155"/>
      <c r="AK463" s="147"/>
    </row>
    <row r="464" spans="1:37" s="148" customFormat="1">
      <c r="A464" s="146" t="s">
        <v>598</v>
      </c>
      <c r="C464" s="147">
        <f t="shared" si="151"/>
        <v>1.858105988862899</v>
      </c>
      <c r="D464" s="147">
        <f t="shared" si="151"/>
        <v>0</v>
      </c>
      <c r="E464" s="147">
        <f t="shared" si="151"/>
        <v>0</v>
      </c>
      <c r="F464" s="147">
        <f t="shared" si="151"/>
        <v>0</v>
      </c>
      <c r="G464" s="411"/>
      <c r="H464" s="411"/>
      <c r="I464" s="411"/>
      <c r="J464" s="411"/>
      <c r="K464" s="411"/>
      <c r="L464" s="411"/>
      <c r="M464" s="411"/>
      <c r="N464" s="411"/>
      <c r="O464" s="411"/>
      <c r="P464" s="147">
        <f t="shared" si="137"/>
        <v>0</v>
      </c>
      <c r="Q464" s="147">
        <f t="shared" si="138"/>
        <v>0</v>
      </c>
      <c r="S464" s="155">
        <f>SUMIF('Flt III'!D:D,A464,'Flt III'!E:E)/3.2808^2</f>
        <v>1.858105988862899</v>
      </c>
      <c r="T464" s="155">
        <f>SUMIF('Flt IIa'!A:A,A464,'Flt IIa'!E:E)/3.2808^2</f>
        <v>0</v>
      </c>
      <c r="U464" s="155">
        <f>SUMIF('OPC Des'!A:A,A464,'OPC Des'!F:F)/3.2808^2</f>
        <v>0</v>
      </c>
      <c r="V464" s="155">
        <f>SUMIF('LCS 5'!A:A,A464,'LCS 5'!E:E)</f>
        <v>0</v>
      </c>
      <c r="W464" s="155">
        <f>SUMIF('USCG Summary'!$A$25:$A$50,A464,'USCG Summary'!$D$25:$D$50)/3.2808^2</f>
        <v>0</v>
      </c>
      <c r="X464" s="153">
        <f>SUMIF('USCG Summary'!$A$25:$A$50,A464,'USCG Summary'!$I$25:$I$50)/3.2808^2</f>
        <v>0</v>
      </c>
      <c r="Y464" s="153">
        <f>SUMIF('USCG Summary'!$A$25:$A$50,A464,'USCG Summary'!$L$25:$L$50)/3.2808^2</f>
        <v>0</v>
      </c>
      <c r="Z464" s="153">
        <f>SUMIF('USCG Summary'!$A$25:$A$50,A464,'USCG Summary'!$O$25:$O$50)/3.2808^2</f>
        <v>0</v>
      </c>
      <c r="AA464" s="153">
        <f>SUMIF('USCG Summary'!$A$25:$A$50,A464,'USCG Summary'!$P$25:$P$50)/3.2808^2</f>
        <v>0</v>
      </c>
      <c r="AB464" s="153">
        <f>SUMIF('USCG Summary'!$A$25:$A$50,A464,'USCG Summary'!$Q$25:$Q$50)/3.2808^2</f>
        <v>0</v>
      </c>
      <c r="AC464" s="153">
        <f>SUMIF('USCG Summary'!$A$25:$A$50,A464,'USCG Summary'!$T$25:$T$50)/3.2808^2</f>
        <v>0</v>
      </c>
      <c r="AD464" s="153">
        <f>SUMIF('USCG Summary'!$A$25:$A$50,A464,'USCG Summary'!$W$25:$W$50)/3.2808^2</f>
        <v>0</v>
      </c>
      <c r="AE464" s="153">
        <f>SUMIF('USCG Summary'!$A$25:$A$50,A464,'USCG Summary'!$Z$25:$Z$50)/3.2808^2</f>
        <v>0</v>
      </c>
      <c r="AF464" s="155">
        <f>SUMIF(Comp!$A$75:$A$400,Areas!A464,Comp!$F$75:$F$400)</f>
        <v>0</v>
      </c>
      <c r="AG464" s="155">
        <f>SUMIF(Comp!$A$75:$A$400,Areas!A464,Comp!$G$75:$G$400)</f>
        <v>0</v>
      </c>
      <c r="AH464" s="155"/>
      <c r="AI464" s="155"/>
      <c r="AK464" s="147"/>
    </row>
    <row r="465" spans="1:37" s="148" customFormat="1">
      <c r="A465" s="146" t="s">
        <v>595</v>
      </c>
      <c r="C465" s="147">
        <f t="shared" si="151"/>
        <v>0.37162119777257979</v>
      </c>
      <c r="D465" s="147">
        <f t="shared" si="151"/>
        <v>0</v>
      </c>
      <c r="E465" s="147">
        <f t="shared" si="151"/>
        <v>0</v>
      </c>
      <c r="F465" s="147">
        <f t="shared" si="151"/>
        <v>0</v>
      </c>
      <c r="G465" s="411"/>
      <c r="H465" s="411"/>
      <c r="I465" s="411"/>
      <c r="J465" s="411"/>
      <c r="K465" s="411"/>
      <c r="L465" s="411"/>
      <c r="M465" s="411"/>
      <c r="N465" s="411"/>
      <c r="O465" s="411"/>
      <c r="P465" s="147">
        <f t="shared" si="137"/>
        <v>0</v>
      </c>
      <c r="Q465" s="147">
        <f t="shared" si="138"/>
        <v>0</v>
      </c>
      <c r="S465" s="155">
        <f>SUMIF('Flt III'!D:D,A465,'Flt III'!E:E)/3.2808^2</f>
        <v>0.37162119777257979</v>
      </c>
      <c r="T465" s="155">
        <f>SUMIF('Flt IIa'!A:A,A465,'Flt IIa'!E:E)/3.2808^2</f>
        <v>0</v>
      </c>
      <c r="U465" s="155">
        <f>SUMIF('OPC Des'!A:A,A465,'OPC Des'!F:F)/3.2808^2</f>
        <v>0</v>
      </c>
      <c r="V465" s="155">
        <f>SUMIF('LCS 5'!A:A,A465,'LCS 5'!E:E)</f>
        <v>0</v>
      </c>
      <c r="W465" s="155">
        <f>SUMIF('USCG Summary'!$A$25:$A$50,A465,'USCG Summary'!$D$25:$D$50)/3.2808^2</f>
        <v>0</v>
      </c>
      <c r="X465" s="153">
        <f>SUMIF('USCG Summary'!$A$25:$A$50,A465,'USCG Summary'!$I$25:$I$50)/3.2808^2</f>
        <v>0</v>
      </c>
      <c r="Y465" s="153">
        <f>SUMIF('USCG Summary'!$A$25:$A$50,A465,'USCG Summary'!$L$25:$L$50)/3.2808^2</f>
        <v>0</v>
      </c>
      <c r="Z465" s="153">
        <f>SUMIF('USCG Summary'!$A$25:$A$50,A465,'USCG Summary'!$O$25:$O$50)/3.2808^2</f>
        <v>0</v>
      </c>
      <c r="AA465" s="153">
        <f>SUMIF('USCG Summary'!$A$25:$A$50,A465,'USCG Summary'!$P$25:$P$50)/3.2808^2</f>
        <v>0</v>
      </c>
      <c r="AB465" s="153">
        <f>SUMIF('USCG Summary'!$A$25:$A$50,A465,'USCG Summary'!$Q$25:$Q$50)/3.2808^2</f>
        <v>0</v>
      </c>
      <c r="AC465" s="153">
        <f>SUMIF('USCG Summary'!$A$25:$A$50,A465,'USCG Summary'!$T$25:$T$50)/3.2808^2</f>
        <v>0</v>
      </c>
      <c r="AD465" s="153">
        <f>SUMIF('USCG Summary'!$A$25:$A$50,A465,'USCG Summary'!$W$25:$W$50)/3.2808^2</f>
        <v>0</v>
      </c>
      <c r="AE465" s="153">
        <f>SUMIF('USCG Summary'!$A$25:$A$50,A465,'USCG Summary'!$Z$25:$Z$50)/3.2808^2</f>
        <v>0</v>
      </c>
      <c r="AF465" s="155">
        <f>SUMIF(Comp!$A$75:$A$400,Areas!A465,Comp!$F$75:$F$400)</f>
        <v>0</v>
      </c>
      <c r="AG465" s="155">
        <f>SUMIF(Comp!$A$75:$A$400,Areas!A465,Comp!$G$75:$G$400)</f>
        <v>0</v>
      </c>
      <c r="AH465" s="155"/>
      <c r="AI465" s="155"/>
      <c r="AK465" s="147"/>
    </row>
    <row r="466" spans="1:37" s="148" customFormat="1">
      <c r="A466" s="146" t="s">
        <v>585</v>
      </c>
      <c r="C466" s="147">
        <f t="shared" si="151"/>
        <v>0</v>
      </c>
      <c r="D466" s="147">
        <f t="shared" si="151"/>
        <v>0</v>
      </c>
      <c r="E466" s="147">
        <f t="shared" si="151"/>
        <v>7.1537080571221612</v>
      </c>
      <c r="F466" s="147">
        <f t="shared" si="151"/>
        <v>0</v>
      </c>
      <c r="G466" s="411"/>
      <c r="H466" s="411"/>
      <c r="I466" s="411"/>
      <c r="J466" s="411"/>
      <c r="K466" s="411"/>
      <c r="L466" s="411"/>
      <c r="M466" s="411"/>
      <c r="N466" s="411"/>
      <c r="O466" s="411"/>
      <c r="P466" s="147">
        <f t="shared" si="137"/>
        <v>0</v>
      </c>
      <c r="Q466" s="147">
        <f t="shared" si="138"/>
        <v>0</v>
      </c>
      <c r="S466" s="155">
        <f>SUMIF('Flt III'!D:D,A466,'Flt III'!E:E)/3.2808^2</f>
        <v>0</v>
      </c>
      <c r="T466" s="155">
        <f>SUMIF('Flt IIa'!A:A,A466,'Flt IIa'!E:E)/3.2808^2</f>
        <v>0</v>
      </c>
      <c r="U466" s="155">
        <f>SUMIF('OPC Des'!A:A,A466,'OPC Des'!F:F)/3.2808^2</f>
        <v>7.1537080571221612</v>
      </c>
      <c r="V466" s="155">
        <f>SUMIF('LCS 5'!A:A,A466,'LCS 5'!E:E)</f>
        <v>0</v>
      </c>
      <c r="W466" s="155">
        <f>SUMIF('USCG Summary'!$A$25:$A$50,A466,'USCG Summary'!$D$25:$D$50)/3.2808^2</f>
        <v>0</v>
      </c>
      <c r="X466" s="153">
        <f>SUMIF('USCG Summary'!$A$25:$A$50,A466,'USCG Summary'!$I$25:$I$50)/3.2808^2</f>
        <v>0</v>
      </c>
      <c r="Y466" s="153">
        <f>SUMIF('USCG Summary'!$A$25:$A$50,A466,'USCG Summary'!$L$25:$L$50)/3.2808^2</f>
        <v>0</v>
      </c>
      <c r="Z466" s="153">
        <f>SUMIF('USCG Summary'!$A$25:$A$50,A466,'USCG Summary'!$O$25:$O$50)/3.2808^2</f>
        <v>0</v>
      </c>
      <c r="AA466" s="153">
        <f>SUMIF('USCG Summary'!$A$25:$A$50,A466,'USCG Summary'!$P$25:$P$50)/3.2808^2</f>
        <v>0</v>
      </c>
      <c r="AB466" s="153">
        <f>SUMIF('USCG Summary'!$A$25:$A$50,A466,'USCG Summary'!$Q$25:$Q$50)/3.2808^2</f>
        <v>0</v>
      </c>
      <c r="AC466" s="153">
        <f>SUMIF('USCG Summary'!$A$25:$A$50,A466,'USCG Summary'!$T$25:$T$50)/3.2808^2</f>
        <v>0</v>
      </c>
      <c r="AD466" s="153">
        <f>SUMIF('USCG Summary'!$A$25:$A$50,A466,'USCG Summary'!$W$25:$W$50)/3.2808^2</f>
        <v>0</v>
      </c>
      <c r="AE466" s="153">
        <f>SUMIF('USCG Summary'!$A$25:$A$50,A466,'USCG Summary'!$Z$25:$Z$50)/3.2808^2</f>
        <v>0</v>
      </c>
      <c r="AF466" s="155">
        <f>SUMIF(Comp!$A$75:$A$400,Areas!A466,Comp!$F$75:$F$400)</f>
        <v>0</v>
      </c>
      <c r="AG466" s="155">
        <f>SUMIF(Comp!$A$75:$A$400,Areas!A466,Comp!$G$75:$G$400)</f>
        <v>0</v>
      </c>
      <c r="AH466" s="155"/>
      <c r="AI466" s="155"/>
      <c r="AK466" s="147"/>
    </row>
    <row r="467" spans="1:37" s="148" customFormat="1">
      <c r="A467" s="146" t="s">
        <v>579</v>
      </c>
      <c r="C467" s="147">
        <f t="shared" si="151"/>
        <v>0</v>
      </c>
      <c r="D467" s="147">
        <f t="shared" si="151"/>
        <v>0</v>
      </c>
      <c r="E467" s="147">
        <f t="shared" si="151"/>
        <v>0</v>
      </c>
      <c r="F467" s="147">
        <f t="shared" si="151"/>
        <v>0</v>
      </c>
      <c r="G467" s="411"/>
      <c r="H467" s="411"/>
      <c r="I467" s="411"/>
      <c r="J467" s="411"/>
      <c r="K467" s="411"/>
      <c r="L467" s="411"/>
      <c r="M467" s="411"/>
      <c r="N467" s="411"/>
      <c r="O467" s="411"/>
      <c r="P467" s="147">
        <f t="shared" si="137"/>
        <v>0</v>
      </c>
      <c r="Q467" s="147">
        <f t="shared" si="138"/>
        <v>0</v>
      </c>
      <c r="S467" s="155">
        <f>SUMIF('Flt III'!D:D,A467,'Flt III'!E:E)/3.2808^2</f>
        <v>0</v>
      </c>
      <c r="T467" s="155">
        <f>SUMIF('Flt IIa'!A:A,A467,'Flt IIa'!E:E)/3.2808^2</f>
        <v>0</v>
      </c>
      <c r="U467" s="155">
        <f>SUMIF('OPC Des'!A:A,A467,'OPC Des'!F:F)/3.2808^2</f>
        <v>0</v>
      </c>
      <c r="V467" s="155">
        <f>SUMIF('LCS 5'!A:A,A467,'LCS 5'!E:E)</f>
        <v>0</v>
      </c>
      <c r="W467" s="155">
        <f>SUMIF('USCG Summary'!$A$25:$A$50,A467,'USCG Summary'!$D$25:$D$50)/3.2808^2</f>
        <v>0</v>
      </c>
      <c r="X467" s="153">
        <f>SUMIF('USCG Summary'!$A$25:$A$50,A467,'USCG Summary'!$I$25:$I$50)/3.2808^2</f>
        <v>0</v>
      </c>
      <c r="Y467" s="153">
        <f>SUMIF('USCG Summary'!$A$25:$A$50,A467,'USCG Summary'!$L$25:$L$50)/3.2808^2</f>
        <v>0</v>
      </c>
      <c r="Z467" s="153">
        <f>SUMIF('USCG Summary'!$A$25:$A$50,A467,'USCG Summary'!$O$25:$O$50)/3.2808^2</f>
        <v>0</v>
      </c>
      <c r="AA467" s="153">
        <f>SUMIF('USCG Summary'!$A$25:$A$50,A467,'USCG Summary'!$P$25:$P$50)/3.2808^2</f>
        <v>0</v>
      </c>
      <c r="AB467" s="153">
        <f>SUMIF('USCG Summary'!$A$25:$A$50,A467,'USCG Summary'!$Q$25:$Q$50)/3.2808^2</f>
        <v>0</v>
      </c>
      <c r="AC467" s="153">
        <f>SUMIF('USCG Summary'!$A$25:$A$50,A467,'USCG Summary'!$T$25:$T$50)/3.2808^2</f>
        <v>0</v>
      </c>
      <c r="AD467" s="153">
        <f>SUMIF('USCG Summary'!$A$25:$A$50,A467,'USCG Summary'!$W$25:$W$50)/3.2808^2</f>
        <v>0</v>
      </c>
      <c r="AE467" s="153">
        <f>SUMIF('USCG Summary'!$A$25:$A$50,A467,'USCG Summary'!$Z$25:$Z$50)/3.2808^2</f>
        <v>0</v>
      </c>
      <c r="AF467" s="155">
        <f>SUMIF(Comp!$A$75:$A$400,Areas!A467,Comp!$F$75:$F$400)</f>
        <v>0</v>
      </c>
      <c r="AG467" s="155">
        <f>SUMIF(Comp!$A$75:$A$400,Areas!A467,Comp!$G$75:$G$400)</f>
        <v>0</v>
      </c>
      <c r="AH467" s="155"/>
      <c r="AI467" s="155"/>
      <c r="AK467" s="147"/>
    </row>
    <row r="468" spans="1:37" s="148" customFormat="1">
      <c r="A468" s="146" t="s">
        <v>575</v>
      </c>
      <c r="C468" s="147">
        <f t="shared" si="151"/>
        <v>0</v>
      </c>
      <c r="D468" s="147">
        <f t="shared" si="151"/>
        <v>0</v>
      </c>
      <c r="E468" s="147">
        <f t="shared" si="151"/>
        <v>0</v>
      </c>
      <c r="F468" s="147">
        <f t="shared" si="151"/>
        <v>0</v>
      </c>
      <c r="G468" s="411"/>
      <c r="H468" s="411"/>
      <c r="I468" s="411"/>
      <c r="J468" s="411"/>
      <c r="K468" s="411"/>
      <c r="L468" s="411"/>
      <c r="M468" s="411"/>
      <c r="N468" s="411"/>
      <c r="O468" s="411"/>
      <c r="P468" s="147">
        <f t="shared" si="137"/>
        <v>0</v>
      </c>
      <c r="Q468" s="147">
        <f t="shared" si="138"/>
        <v>0</v>
      </c>
      <c r="S468" s="155">
        <f>SUMIF('Flt III'!D:D,A468,'Flt III'!E:E)/3.2808^2</f>
        <v>0</v>
      </c>
      <c r="T468" s="155">
        <f>SUMIF('Flt IIa'!A:A,A468,'Flt IIa'!E:E)/3.2808^2</f>
        <v>0</v>
      </c>
      <c r="U468" s="155">
        <f>SUMIF('OPC Des'!A:A,A468,'OPC Des'!F:F)/3.2808^2</f>
        <v>0</v>
      </c>
      <c r="V468" s="155">
        <f>SUMIF('LCS 5'!A:A,A468,'LCS 5'!E:E)</f>
        <v>0</v>
      </c>
      <c r="W468" s="155">
        <f>SUMIF('USCG Summary'!$A$25:$A$50,A468,'USCG Summary'!$D$25:$D$50)/3.2808^2</f>
        <v>0</v>
      </c>
      <c r="X468" s="153">
        <f>SUMIF('USCG Summary'!$A$25:$A$50,A468,'USCG Summary'!$I$25:$I$50)/3.2808^2</f>
        <v>0</v>
      </c>
      <c r="Y468" s="153">
        <f>SUMIF('USCG Summary'!$A$25:$A$50,A468,'USCG Summary'!$L$25:$L$50)/3.2808^2</f>
        <v>0</v>
      </c>
      <c r="Z468" s="153">
        <f>SUMIF('USCG Summary'!$A$25:$A$50,A468,'USCG Summary'!$O$25:$O$50)/3.2808^2</f>
        <v>0</v>
      </c>
      <c r="AA468" s="153">
        <f>SUMIF('USCG Summary'!$A$25:$A$50,A468,'USCG Summary'!$P$25:$P$50)/3.2808^2</f>
        <v>0</v>
      </c>
      <c r="AB468" s="153">
        <f>SUMIF('USCG Summary'!$A$25:$A$50,A468,'USCG Summary'!$Q$25:$Q$50)/3.2808^2</f>
        <v>0</v>
      </c>
      <c r="AC468" s="153">
        <f>SUMIF('USCG Summary'!$A$25:$A$50,A468,'USCG Summary'!$T$25:$T$50)/3.2808^2</f>
        <v>0</v>
      </c>
      <c r="AD468" s="153">
        <f>SUMIF('USCG Summary'!$A$25:$A$50,A468,'USCG Summary'!$W$25:$W$50)/3.2808^2</f>
        <v>0</v>
      </c>
      <c r="AE468" s="153">
        <f>SUMIF('USCG Summary'!$A$25:$A$50,A468,'USCG Summary'!$Z$25:$Z$50)/3.2808^2</f>
        <v>0</v>
      </c>
      <c r="AF468" s="155">
        <f>SUMIF(Comp!$A$75:$A$400,Areas!A468,Comp!$F$75:$F$400)</f>
        <v>0</v>
      </c>
      <c r="AG468" s="155">
        <f>SUMIF(Comp!$A$75:$A$400,Areas!A468,Comp!$G$75:$G$400)</f>
        <v>0</v>
      </c>
      <c r="AH468" s="155"/>
      <c r="AI468" s="155"/>
      <c r="AK468" s="147"/>
    </row>
    <row r="469" spans="1:37" s="132" customFormat="1">
      <c r="A469" s="142">
        <v>3.9140000000000001</v>
      </c>
      <c r="B469" s="132" t="str">
        <f>Comp!B355</f>
        <v>FEEDWATER TNKG</v>
      </c>
      <c r="C469" s="143">
        <f t="shared" si="151"/>
        <v>0</v>
      </c>
      <c r="D469" s="143">
        <f t="shared" si="151"/>
        <v>0</v>
      </c>
      <c r="E469" s="143">
        <f t="shared" si="151"/>
        <v>0</v>
      </c>
      <c r="F469" s="143">
        <f t="shared" si="151"/>
        <v>0</v>
      </c>
      <c r="G469" s="410"/>
      <c r="H469" s="410"/>
      <c r="I469" s="410"/>
      <c r="J469" s="410"/>
      <c r="K469" s="410"/>
      <c r="L469" s="410"/>
      <c r="M469" s="410"/>
      <c r="N469" s="410"/>
      <c r="O469" s="410"/>
      <c r="P469" s="143">
        <f t="shared" si="137"/>
        <v>0</v>
      </c>
      <c r="Q469" s="143">
        <f t="shared" si="138"/>
        <v>0</v>
      </c>
      <c r="S469" s="154">
        <f>SUMIF('Flt III'!D:D,A469,'Flt III'!E:E)/3.2808^2</f>
        <v>0</v>
      </c>
      <c r="T469" s="154">
        <f>SUMIF('Flt IIa'!A:A,A469,'Flt IIa'!E:E)/3.2808^2</f>
        <v>0</v>
      </c>
      <c r="U469" s="154">
        <f>SUMIF('OPC Des'!A:A,A469,'OPC Des'!F:F)/3.2808^2</f>
        <v>0</v>
      </c>
      <c r="V469" s="154">
        <f>SUMIF('LCS 5'!A:A,A469,'LCS 5'!E:E)</f>
        <v>0</v>
      </c>
      <c r="W469" s="154">
        <f>SUMIF('USCG Summary'!$A$25:$A$50,A469,'USCG Summary'!$D$25:$D$50)/3.2808^2</f>
        <v>0</v>
      </c>
      <c r="X469" s="153">
        <f>SUMIF('USCG Summary'!$A$25:$A$50,A469,'USCG Summary'!$I$25:$I$50)/3.2808^2</f>
        <v>0</v>
      </c>
      <c r="Y469" s="153">
        <f>SUMIF('USCG Summary'!$A$25:$A$50,A469,'USCG Summary'!$L$25:$L$50)/3.2808^2</f>
        <v>0</v>
      </c>
      <c r="Z469" s="153">
        <f>SUMIF('USCG Summary'!$A$25:$A$50,A469,'USCG Summary'!$O$25:$O$50)/3.2808^2</f>
        <v>0</v>
      </c>
      <c r="AA469" s="153">
        <f>SUMIF('USCG Summary'!$A$25:$A$50,A469,'USCG Summary'!$P$25:$P$50)/3.2808^2</f>
        <v>0</v>
      </c>
      <c r="AB469" s="153">
        <f>SUMIF('USCG Summary'!$A$25:$A$50,A469,'USCG Summary'!$Q$25:$Q$50)/3.2808^2</f>
        <v>0</v>
      </c>
      <c r="AC469" s="153">
        <f>SUMIF('USCG Summary'!$A$25:$A$50,A469,'USCG Summary'!$T$25:$T$50)/3.2808^2</f>
        <v>0</v>
      </c>
      <c r="AD469" s="153">
        <f>SUMIF('USCG Summary'!$A$25:$A$50,A469,'USCG Summary'!$W$25:$W$50)/3.2808^2</f>
        <v>0</v>
      </c>
      <c r="AE469" s="153">
        <f>SUMIF('USCG Summary'!$A$25:$A$50,A469,'USCG Summary'!$Z$25:$Z$50)/3.2808^2</f>
        <v>0</v>
      </c>
      <c r="AF469" s="154">
        <f>SUMIF(Comp!$A$75:$A$400,Areas!A469,Comp!$F$75:$F$400)</f>
        <v>0</v>
      </c>
      <c r="AG469" s="154">
        <f>SUMIF(Comp!$A$75:$A$400,Areas!A469,Comp!$G$75:$G$400)</f>
        <v>0</v>
      </c>
      <c r="AH469" s="154"/>
      <c r="AI469" s="154"/>
      <c r="AK469" s="143"/>
    </row>
    <row r="470" spans="1:37" s="134" customFormat="1">
      <c r="A470" s="140">
        <v>3.92</v>
      </c>
      <c r="B470" s="134" t="str">
        <f>Comp!B356</f>
        <v>BALLAST TNKG</v>
      </c>
      <c r="C470" s="149">
        <f>C471</f>
        <v>2.6013483844080585</v>
      </c>
      <c r="D470" s="149">
        <f>T470</f>
        <v>2.6013483844080585</v>
      </c>
      <c r="E470" s="149">
        <f>U470</f>
        <v>0</v>
      </c>
      <c r="F470" s="149">
        <f>V470</f>
        <v>0</v>
      </c>
      <c r="G470" s="409"/>
      <c r="H470" s="409"/>
      <c r="I470" s="409"/>
      <c r="J470" s="409"/>
      <c r="K470" s="409"/>
      <c r="L470" s="409"/>
      <c r="M470" s="409"/>
      <c r="N470" s="409"/>
      <c r="O470" s="409"/>
      <c r="P470" s="149">
        <f t="shared" si="137"/>
        <v>0</v>
      </c>
      <c r="Q470" s="149">
        <f t="shared" si="138"/>
        <v>0</v>
      </c>
      <c r="S470" s="153">
        <f>SUMIF('Flt III'!D:D,A470,'Flt III'!E:E)/3.2808^2</f>
        <v>0</v>
      </c>
      <c r="T470" s="153">
        <f>SUMIF('Flt IIa'!A:A,A470,'Flt IIa'!E:E)/3.2808^2</f>
        <v>2.6013483844080585</v>
      </c>
      <c r="U470" s="153">
        <f>SUMIF('OPC Des'!A:A,A470,'OPC Des'!F:F)/3.2808^2</f>
        <v>0</v>
      </c>
      <c r="V470" s="153">
        <f>SUMIF('LCS 5'!A:A,A470,'LCS 5'!E:E)</f>
        <v>0</v>
      </c>
      <c r="W470" s="153">
        <f>SUMIF('USCG Summary'!$A$25:$A$50,A470,'USCG Summary'!$D$25:$D$50)/3.2808^2</f>
        <v>0</v>
      </c>
      <c r="X470" s="153">
        <f>SUMIF('USCG Summary'!$A$25:$A$50,A470,'USCG Summary'!$I$25:$I$50)/3.2808^2</f>
        <v>0</v>
      </c>
      <c r="Y470" s="153">
        <f>SUMIF('USCG Summary'!$A$25:$A$50,A470,'USCG Summary'!$L$25:$L$50)/3.2808^2</f>
        <v>0</v>
      </c>
      <c r="Z470" s="153">
        <f>SUMIF('USCG Summary'!$A$25:$A$50,A470,'USCG Summary'!$O$25:$O$50)/3.2808^2</f>
        <v>0</v>
      </c>
      <c r="AA470" s="153">
        <f>SUMIF('USCG Summary'!$A$25:$A$50,A470,'USCG Summary'!$P$25:$P$50)/3.2808^2</f>
        <v>0</v>
      </c>
      <c r="AB470" s="153">
        <f>SUMIF('USCG Summary'!$A$25:$A$50,A470,'USCG Summary'!$Q$25:$Q$50)/3.2808^2</f>
        <v>0</v>
      </c>
      <c r="AC470" s="153">
        <f>SUMIF('USCG Summary'!$A$25:$A$50,A470,'USCG Summary'!$T$25:$T$50)/3.2808^2</f>
        <v>0</v>
      </c>
      <c r="AD470" s="153">
        <f>SUMIF('USCG Summary'!$A$25:$A$50,A470,'USCG Summary'!$W$25:$W$50)/3.2808^2</f>
        <v>0</v>
      </c>
      <c r="AE470" s="153">
        <f>SUMIF('USCG Summary'!$A$25:$A$50,A470,'USCG Summary'!$Z$25:$Z$50)/3.2808^2</f>
        <v>0</v>
      </c>
      <c r="AF470" s="153">
        <f>SUMIF(Comp!$A$75:$A$400,Areas!A470,Comp!$F$75:$F$400)</f>
        <v>0</v>
      </c>
      <c r="AG470" s="153">
        <f>SUMIF(Comp!$A$75:$A$400,Areas!A470,Comp!$G$75:$G$400)</f>
        <v>0</v>
      </c>
      <c r="AH470" s="153"/>
      <c r="AI470" s="153"/>
      <c r="AK470" s="133"/>
    </row>
    <row r="471" spans="1:37" s="148" customFormat="1">
      <c r="A471" s="146" t="s">
        <v>572</v>
      </c>
      <c r="C471" s="147">
        <f t="shared" ref="C471:F471" si="152">S471</f>
        <v>2.6013483844080585</v>
      </c>
      <c r="D471" s="147">
        <f t="shared" si="152"/>
        <v>0</v>
      </c>
      <c r="E471" s="147">
        <f t="shared" si="152"/>
        <v>0</v>
      </c>
      <c r="F471" s="147">
        <f t="shared" si="152"/>
        <v>0</v>
      </c>
      <c r="G471" s="411"/>
      <c r="H471" s="411"/>
      <c r="I471" s="411"/>
      <c r="J471" s="411"/>
      <c r="K471" s="411"/>
      <c r="L471" s="411"/>
      <c r="M471" s="411"/>
      <c r="N471" s="411"/>
      <c r="O471" s="411"/>
      <c r="P471" s="147">
        <f t="shared" si="137"/>
        <v>0</v>
      </c>
      <c r="Q471" s="147">
        <f t="shared" si="138"/>
        <v>0</v>
      </c>
      <c r="S471" s="155">
        <f>SUMIF('Flt III'!D:D,A471,'Flt III'!E:E)/3.2808^2</f>
        <v>2.6013483844080585</v>
      </c>
      <c r="T471" s="155">
        <f>SUMIF('Flt IIa'!A:A,A471,'Flt IIa'!E:E)/3.2808^2</f>
        <v>0</v>
      </c>
      <c r="U471" s="155">
        <f>SUMIF('OPC Des'!A:A,A471,'OPC Des'!F:F)/3.2808^2</f>
        <v>0</v>
      </c>
      <c r="V471" s="155">
        <f>SUMIF('LCS 5'!A:A,A471,'LCS 5'!E:E)</f>
        <v>0</v>
      </c>
      <c r="W471" s="155">
        <f>SUMIF('USCG Summary'!$A$25:$A$50,A471,'USCG Summary'!$D$25:$D$50)/3.2808^2</f>
        <v>0</v>
      </c>
      <c r="X471" s="153">
        <f>SUMIF('USCG Summary'!$A$25:$A$50,A471,'USCG Summary'!$I$25:$I$50)/3.2808^2</f>
        <v>0</v>
      </c>
      <c r="Y471" s="153">
        <f>SUMIF('USCG Summary'!$A$25:$A$50,A471,'USCG Summary'!$L$25:$L$50)/3.2808^2</f>
        <v>0</v>
      </c>
      <c r="Z471" s="153">
        <f>SUMIF('USCG Summary'!$A$25:$A$50,A471,'USCG Summary'!$O$25:$O$50)/3.2808^2</f>
        <v>0</v>
      </c>
      <c r="AA471" s="153">
        <f>SUMIF('USCG Summary'!$A$25:$A$50,A471,'USCG Summary'!$P$25:$P$50)/3.2808^2</f>
        <v>0</v>
      </c>
      <c r="AB471" s="153">
        <f>SUMIF('USCG Summary'!$A$25:$A$50,A471,'USCG Summary'!$Q$25:$Q$50)/3.2808^2</f>
        <v>0</v>
      </c>
      <c r="AC471" s="153">
        <f>SUMIF('USCG Summary'!$A$25:$A$50,A471,'USCG Summary'!$T$25:$T$50)/3.2808^2</f>
        <v>0</v>
      </c>
      <c r="AD471" s="153">
        <f>SUMIF('USCG Summary'!$A$25:$A$50,A471,'USCG Summary'!$W$25:$W$50)/3.2808^2</f>
        <v>0</v>
      </c>
      <c r="AE471" s="153">
        <f>SUMIF('USCG Summary'!$A$25:$A$50,A471,'USCG Summary'!$Z$25:$Z$50)/3.2808^2</f>
        <v>0</v>
      </c>
      <c r="AF471" s="155">
        <f>SUMIF(Comp!$A$75:$A$400,Areas!A471,Comp!$F$75:$F$400)</f>
        <v>0</v>
      </c>
      <c r="AG471" s="155">
        <f>SUMIF(Comp!$A$75:$A$400,Areas!A471,Comp!$G$75:$G$400)</f>
        <v>0</v>
      </c>
      <c r="AH471" s="155"/>
      <c r="AI471" s="155"/>
      <c r="AK471" s="147"/>
    </row>
    <row r="472" spans="1:37" s="134" customFormat="1">
      <c r="A472" s="140">
        <v>3.93</v>
      </c>
      <c r="B472" s="134" t="str">
        <f>Comp!B357</f>
        <v>FRESH WATER TNKG</v>
      </c>
      <c r="C472" s="149">
        <f>C473</f>
        <v>0</v>
      </c>
      <c r="D472" s="149">
        <f>D473</f>
        <v>0</v>
      </c>
      <c r="E472" s="149">
        <f>E473</f>
        <v>0</v>
      </c>
      <c r="F472" s="149">
        <f>F473</f>
        <v>0</v>
      </c>
      <c r="G472" s="409"/>
      <c r="H472" s="409"/>
      <c r="I472" s="409"/>
      <c r="J472" s="409"/>
      <c r="K472" s="409"/>
      <c r="L472" s="409"/>
      <c r="M472" s="409"/>
      <c r="N472" s="409"/>
      <c r="O472" s="409"/>
      <c r="P472" s="149">
        <f t="shared" si="137"/>
        <v>0</v>
      </c>
      <c r="Q472" s="149">
        <f t="shared" si="138"/>
        <v>0</v>
      </c>
      <c r="S472" s="153">
        <f>SUMIF('Flt III'!D:D,A472,'Flt III'!E:E)/3.2808^2</f>
        <v>0</v>
      </c>
      <c r="T472" s="153">
        <f>SUMIF('Flt IIa'!A:A,A472,'Flt IIa'!E:E)/3.2808^2</f>
        <v>0</v>
      </c>
      <c r="U472" s="153">
        <f>SUMIF('OPC Des'!A:A,A472,'OPC Des'!F:F)/3.2808^2</f>
        <v>0</v>
      </c>
      <c r="V472" s="153">
        <f>SUMIF('LCS 5'!A:A,A472,'LCS 5'!E:E)</f>
        <v>0</v>
      </c>
      <c r="W472" s="153">
        <f>SUMIF('USCG Summary'!$A$25:$A$50,A472,'USCG Summary'!$D$25:$D$50)/3.2808^2</f>
        <v>0</v>
      </c>
      <c r="X472" s="153">
        <f>SUMIF('USCG Summary'!$A$25:$A$50,A472,'USCG Summary'!$I$25:$I$50)/3.2808^2</f>
        <v>0</v>
      </c>
      <c r="Y472" s="153">
        <f>SUMIF('USCG Summary'!$A$25:$A$50,A472,'USCG Summary'!$L$25:$L$50)/3.2808^2</f>
        <v>0</v>
      </c>
      <c r="Z472" s="153">
        <f>SUMIF('USCG Summary'!$A$25:$A$50,A472,'USCG Summary'!$O$25:$O$50)/3.2808^2</f>
        <v>0</v>
      </c>
      <c r="AA472" s="153">
        <f>SUMIF('USCG Summary'!$A$25:$A$50,A472,'USCG Summary'!$P$25:$P$50)/3.2808^2</f>
        <v>0</v>
      </c>
      <c r="AB472" s="153">
        <f>SUMIF('USCG Summary'!$A$25:$A$50,A472,'USCG Summary'!$Q$25:$Q$50)/3.2808^2</f>
        <v>0</v>
      </c>
      <c r="AC472" s="153">
        <f>SUMIF('USCG Summary'!$A$25:$A$50,A472,'USCG Summary'!$T$25:$T$50)/3.2808^2</f>
        <v>0</v>
      </c>
      <c r="AD472" s="153">
        <f>SUMIF('USCG Summary'!$A$25:$A$50,A472,'USCG Summary'!$W$25:$W$50)/3.2808^2</f>
        <v>0</v>
      </c>
      <c r="AE472" s="153">
        <f>SUMIF('USCG Summary'!$A$25:$A$50,A472,'USCG Summary'!$Z$25:$Z$50)/3.2808^2</f>
        <v>0</v>
      </c>
      <c r="AF472" s="153">
        <f>SUMIF(Comp!$A$75:$A$400,Areas!A472,Comp!$F$75:$F$400)</f>
        <v>0</v>
      </c>
      <c r="AG472" s="153">
        <f>SUMIF(Comp!$A$75:$A$400,Areas!A472,Comp!$G$75:$G$400)</f>
        <v>0</v>
      </c>
      <c r="AH472" s="153"/>
      <c r="AI472" s="153"/>
      <c r="AK472" s="133"/>
    </row>
    <row r="473" spans="1:37" s="148" customFormat="1">
      <c r="A473" s="146" t="s">
        <v>566</v>
      </c>
      <c r="C473" s="147">
        <f t="shared" ref="C473:F473" si="153">S473</f>
        <v>0</v>
      </c>
      <c r="D473" s="147">
        <f t="shared" si="153"/>
        <v>0</v>
      </c>
      <c r="E473" s="147">
        <f t="shared" si="153"/>
        <v>0</v>
      </c>
      <c r="F473" s="147">
        <f t="shared" si="153"/>
        <v>0</v>
      </c>
      <c r="G473" s="411"/>
      <c r="H473" s="411"/>
      <c r="I473" s="411"/>
      <c r="J473" s="411"/>
      <c r="K473" s="411"/>
      <c r="L473" s="411"/>
      <c r="M473" s="411"/>
      <c r="N473" s="411"/>
      <c r="O473" s="411"/>
      <c r="P473" s="147">
        <f t="shared" si="137"/>
        <v>0</v>
      </c>
      <c r="Q473" s="147">
        <f t="shared" si="138"/>
        <v>0</v>
      </c>
      <c r="S473" s="155">
        <f>SUMIF('Flt III'!D:D,A473,'Flt III'!E:E)/3.2808^2</f>
        <v>0</v>
      </c>
      <c r="T473" s="155">
        <f>SUMIF('Flt IIa'!A:A,A473,'Flt IIa'!E:E)/3.2808^2</f>
        <v>0</v>
      </c>
      <c r="U473" s="155">
        <f>SUMIF('OPC Des'!A:A,A473,'OPC Des'!F:F)/3.2808^2</f>
        <v>0</v>
      </c>
      <c r="V473" s="155">
        <f>SUMIF('LCS 5'!A:A,A473,'LCS 5'!E:E)</f>
        <v>0</v>
      </c>
      <c r="W473" s="155">
        <f>SUMIF('USCG Summary'!$A$25:$A$50,A473,'USCG Summary'!$D$25:$D$50)/3.2808^2</f>
        <v>0</v>
      </c>
      <c r="X473" s="153">
        <f>SUMIF('USCG Summary'!$A$25:$A$50,A473,'USCG Summary'!$I$25:$I$50)/3.2808^2</f>
        <v>0</v>
      </c>
      <c r="Y473" s="153">
        <f>SUMIF('USCG Summary'!$A$25:$A$50,A473,'USCG Summary'!$L$25:$L$50)/3.2808^2</f>
        <v>0</v>
      </c>
      <c r="Z473" s="153">
        <f>SUMIF('USCG Summary'!$A$25:$A$50,A473,'USCG Summary'!$O$25:$O$50)/3.2808^2</f>
        <v>0</v>
      </c>
      <c r="AA473" s="153">
        <f>SUMIF('USCG Summary'!$A$25:$A$50,A473,'USCG Summary'!$P$25:$P$50)/3.2808^2</f>
        <v>0</v>
      </c>
      <c r="AB473" s="153">
        <f>SUMIF('USCG Summary'!$A$25:$A$50,A473,'USCG Summary'!$Q$25:$Q$50)/3.2808^2</f>
        <v>0</v>
      </c>
      <c r="AC473" s="153">
        <f>SUMIF('USCG Summary'!$A$25:$A$50,A473,'USCG Summary'!$T$25:$T$50)/3.2808^2</f>
        <v>0</v>
      </c>
      <c r="AD473" s="153">
        <f>SUMIF('USCG Summary'!$A$25:$A$50,A473,'USCG Summary'!$W$25:$W$50)/3.2808^2</f>
        <v>0</v>
      </c>
      <c r="AE473" s="153">
        <f>SUMIF('USCG Summary'!$A$25:$A$50,A473,'USCG Summary'!$Z$25:$Z$50)/3.2808^2</f>
        <v>0</v>
      </c>
      <c r="AF473" s="155">
        <f>SUMIF(Comp!$A$75:$A$400,Areas!A473,Comp!$F$75:$F$400)</f>
        <v>0</v>
      </c>
      <c r="AG473" s="155">
        <f>SUMIF(Comp!$A$75:$A$400,Areas!A473,Comp!$G$75:$G$400)</f>
        <v>0</v>
      </c>
      <c r="AH473" s="155"/>
      <c r="AI473" s="155"/>
      <c r="AK473" s="147"/>
    </row>
    <row r="474" spans="1:37" s="134" customFormat="1">
      <c r="A474" s="140">
        <v>3.94</v>
      </c>
      <c r="B474" s="134" t="str">
        <f>Comp!B358</f>
        <v>POLLUTION CNTRL TNKG</v>
      </c>
      <c r="C474" s="149">
        <f>C475+C477</f>
        <v>22.483082465241079</v>
      </c>
      <c r="D474" s="149">
        <f>D475+D477</f>
        <v>22.483082465241079</v>
      </c>
      <c r="E474" s="149">
        <f>E475+E477</f>
        <v>14.586132012573756</v>
      </c>
      <c r="F474" s="149">
        <f>F475+F477</f>
        <v>0</v>
      </c>
      <c r="G474" s="409"/>
      <c r="H474" s="409"/>
      <c r="I474" s="409"/>
      <c r="J474" s="409"/>
      <c r="K474" s="409"/>
      <c r="L474" s="409"/>
      <c r="M474" s="409"/>
      <c r="N474" s="409"/>
      <c r="O474" s="409"/>
      <c r="P474" s="149">
        <f t="shared" si="137"/>
        <v>19.600000000000001</v>
      </c>
      <c r="Q474" s="149">
        <f t="shared" si="138"/>
        <v>19.600000000000001</v>
      </c>
      <c r="S474" s="153">
        <f>SUMIF('Flt III'!D:D,A474,'Flt III'!E:E)/3.2808^2</f>
        <v>0</v>
      </c>
      <c r="T474" s="153">
        <f>SUMIF('Flt IIa'!A:A,A474,'Flt IIa'!E:E)/3.2808^2</f>
        <v>0</v>
      </c>
      <c r="U474" s="153">
        <f>SUMIF('OPC Des'!A:A,A474,'OPC Des'!F:F)/3.2808^2</f>
        <v>0</v>
      </c>
      <c r="V474" s="153">
        <f>SUMIF('LCS 5'!A:A,A474,'LCS 5'!E:E)</f>
        <v>0</v>
      </c>
      <c r="W474" s="153">
        <f>SUMIF('USCG Summary'!$A$25:$A$50,A474,'USCG Summary'!$D$25:$D$50)/3.2808^2</f>
        <v>0</v>
      </c>
      <c r="X474" s="153">
        <f>SUMIF('USCG Summary'!$A$25:$A$50,A474,'USCG Summary'!$I$25:$I$50)/3.2808^2</f>
        <v>0</v>
      </c>
      <c r="Y474" s="153">
        <f>SUMIF('USCG Summary'!$A$25:$A$50,A474,'USCG Summary'!$L$25:$L$50)/3.2808^2</f>
        <v>0</v>
      </c>
      <c r="Z474" s="153">
        <f>SUMIF('USCG Summary'!$A$25:$A$50,A474,'USCG Summary'!$O$25:$O$50)/3.2808^2</f>
        <v>0</v>
      </c>
      <c r="AA474" s="153">
        <f>SUMIF('USCG Summary'!$A$25:$A$50,A474,'USCG Summary'!$P$25:$P$50)/3.2808^2</f>
        <v>0</v>
      </c>
      <c r="AB474" s="153">
        <f>SUMIF('USCG Summary'!$A$25:$A$50,A474,'USCG Summary'!$Q$25:$Q$50)/3.2808^2</f>
        <v>0</v>
      </c>
      <c r="AC474" s="153">
        <f>SUMIF('USCG Summary'!$A$25:$A$50,A474,'USCG Summary'!$T$25:$T$50)/3.2808^2</f>
        <v>0</v>
      </c>
      <c r="AD474" s="153">
        <f>SUMIF('USCG Summary'!$A$25:$A$50,A474,'USCG Summary'!$W$25:$W$50)/3.2808^2</f>
        <v>0</v>
      </c>
      <c r="AE474" s="153">
        <f>SUMIF('USCG Summary'!$A$25:$A$50,A474,'USCG Summary'!$Z$25:$Z$50)/3.2808^2</f>
        <v>0</v>
      </c>
      <c r="AF474" s="153">
        <f>SUMIF(Comp!$A$75:$A$400,Areas!A474,Comp!$F$75:$F$400)</f>
        <v>19.600000000000001</v>
      </c>
      <c r="AG474" s="153">
        <f>SUMIF(Comp!$A$75:$A$400,Areas!A474,Comp!$G$75:$G$400)</f>
        <v>19.600000000000001</v>
      </c>
      <c r="AH474" s="153"/>
      <c r="AI474" s="153"/>
      <c r="AK474" s="133"/>
    </row>
    <row r="475" spans="1:37" s="132" customFormat="1">
      <c r="A475" s="142">
        <v>3.9409999999999998</v>
      </c>
      <c r="B475" s="132" t="str">
        <f>Comp!B359</f>
        <v>SEWAGE TANKS</v>
      </c>
      <c r="C475" s="143">
        <f>SUM(C476)</f>
        <v>22.483082465241079</v>
      </c>
      <c r="D475" s="143">
        <f>T475</f>
        <v>22.483082465241079</v>
      </c>
      <c r="E475" s="143">
        <f>U475</f>
        <v>14.586132012573756</v>
      </c>
      <c r="F475" s="143">
        <f>V475</f>
        <v>0</v>
      </c>
      <c r="G475" s="410"/>
      <c r="H475" s="410"/>
      <c r="I475" s="410"/>
      <c r="J475" s="410"/>
      <c r="K475" s="410"/>
      <c r="L475" s="410"/>
      <c r="M475" s="410"/>
      <c r="N475" s="410"/>
      <c r="O475" s="410"/>
      <c r="P475" s="143">
        <f t="shared" si="137"/>
        <v>7.4</v>
      </c>
      <c r="Q475" s="143">
        <f t="shared" si="138"/>
        <v>7.4</v>
      </c>
      <c r="S475" s="154">
        <f>SUMIF('Flt III'!D:D,A475,'Flt III'!E:E)/3.2808^2</f>
        <v>0</v>
      </c>
      <c r="T475" s="154">
        <f>SUMIF('Flt IIa'!A:A,A475,'Flt IIa'!E:E)/3.2808^2</f>
        <v>22.483082465241079</v>
      </c>
      <c r="U475" s="154">
        <f>SUMIF('OPC Des'!A:A,A475,'OPC Des'!F:F)/3.2808^2</f>
        <v>14.586132012573756</v>
      </c>
      <c r="V475" s="154">
        <f>SUMIF('LCS 5'!A:A,A475,'LCS 5'!E:E)</f>
        <v>0</v>
      </c>
      <c r="W475" s="154">
        <f>SUMIF('USCG Summary'!$A$25:$A$50,A475,'USCG Summary'!$D$25:$D$50)/3.2808^2</f>
        <v>0</v>
      </c>
      <c r="X475" s="153">
        <f>SUMIF('USCG Summary'!$A$25:$A$50,A475,'USCG Summary'!$I$25:$I$50)/3.2808^2</f>
        <v>0</v>
      </c>
      <c r="Y475" s="153">
        <f>SUMIF('USCG Summary'!$A$25:$A$50,A475,'USCG Summary'!$L$25:$L$50)/3.2808^2</f>
        <v>0</v>
      </c>
      <c r="Z475" s="153">
        <f>SUMIF('USCG Summary'!$A$25:$A$50,A475,'USCG Summary'!$O$25:$O$50)/3.2808^2</f>
        <v>0</v>
      </c>
      <c r="AA475" s="153">
        <f>SUMIF('USCG Summary'!$A$25:$A$50,A475,'USCG Summary'!$P$25:$P$50)/3.2808^2</f>
        <v>0</v>
      </c>
      <c r="AB475" s="153">
        <f>SUMIF('USCG Summary'!$A$25:$A$50,A475,'USCG Summary'!$Q$25:$Q$50)/3.2808^2</f>
        <v>0</v>
      </c>
      <c r="AC475" s="153">
        <f>SUMIF('USCG Summary'!$A$25:$A$50,A475,'USCG Summary'!$T$25:$T$50)/3.2808^2</f>
        <v>0</v>
      </c>
      <c r="AD475" s="153">
        <f>SUMIF('USCG Summary'!$A$25:$A$50,A475,'USCG Summary'!$W$25:$W$50)/3.2808^2</f>
        <v>0</v>
      </c>
      <c r="AE475" s="153">
        <f>SUMIF('USCG Summary'!$A$25:$A$50,A475,'USCG Summary'!$Z$25:$Z$50)/3.2808^2</f>
        <v>0</v>
      </c>
      <c r="AF475" s="154">
        <f>SUMIF(Comp!$A$75:$A$400,Areas!A475,Comp!$F$75:$F$400)</f>
        <v>7.4</v>
      </c>
      <c r="AG475" s="154">
        <f>SUMIF(Comp!$A$75:$A$400,Areas!A475,Comp!$G$75:$G$400)</f>
        <v>7.4</v>
      </c>
      <c r="AH475" s="154"/>
      <c r="AI475" s="154"/>
      <c r="AK475" s="143"/>
    </row>
    <row r="476" spans="1:37" s="148" customFormat="1">
      <c r="A476" s="146" t="s">
        <v>561</v>
      </c>
      <c r="C476" s="147">
        <f t="shared" ref="C476:F476" si="154">S476</f>
        <v>22.483082465241079</v>
      </c>
      <c r="D476" s="147">
        <f t="shared" si="154"/>
        <v>0</v>
      </c>
      <c r="E476" s="147">
        <f t="shared" si="154"/>
        <v>0</v>
      </c>
      <c r="F476" s="147">
        <f t="shared" si="154"/>
        <v>0</v>
      </c>
      <c r="G476" s="411"/>
      <c r="H476" s="411"/>
      <c r="I476" s="411"/>
      <c r="J476" s="411"/>
      <c r="K476" s="411"/>
      <c r="L476" s="411"/>
      <c r="M476" s="411"/>
      <c r="N476" s="411"/>
      <c r="O476" s="411"/>
      <c r="P476" s="147">
        <f t="shared" si="137"/>
        <v>0</v>
      </c>
      <c r="Q476" s="147">
        <f t="shared" si="138"/>
        <v>0</v>
      </c>
      <c r="S476" s="155">
        <f>SUMIF('Flt III'!D:D,A476,'Flt III'!E:E)/3.2808^2</f>
        <v>22.483082465241079</v>
      </c>
      <c r="T476" s="155">
        <f>SUMIF('Flt IIa'!A:A,A476,'Flt IIa'!E:E)/3.2808^2</f>
        <v>0</v>
      </c>
      <c r="U476" s="155">
        <f>SUMIF('OPC Des'!A:A,A476,'OPC Des'!F:F)/3.2808^2</f>
        <v>0</v>
      </c>
      <c r="V476" s="155">
        <f>SUMIF('LCS 5'!A:A,A476,'LCS 5'!E:E)</f>
        <v>0</v>
      </c>
      <c r="W476" s="155">
        <f>SUMIF('USCG Summary'!$A$25:$A$50,A476,'USCG Summary'!$D$25:$D$50)/3.2808^2</f>
        <v>0</v>
      </c>
      <c r="X476" s="153">
        <f>SUMIF('USCG Summary'!$A$25:$A$50,A476,'USCG Summary'!$I$25:$I$50)/3.2808^2</f>
        <v>0</v>
      </c>
      <c r="Y476" s="153">
        <f>SUMIF('USCG Summary'!$A$25:$A$50,A476,'USCG Summary'!$L$25:$L$50)/3.2808^2</f>
        <v>0</v>
      </c>
      <c r="Z476" s="153">
        <f>SUMIF('USCG Summary'!$A$25:$A$50,A476,'USCG Summary'!$O$25:$O$50)/3.2808^2</f>
        <v>0</v>
      </c>
      <c r="AA476" s="153">
        <f>SUMIF('USCG Summary'!$A$25:$A$50,A476,'USCG Summary'!$P$25:$P$50)/3.2808^2</f>
        <v>0</v>
      </c>
      <c r="AB476" s="153">
        <f>SUMIF('USCG Summary'!$A$25:$A$50,A476,'USCG Summary'!$Q$25:$Q$50)/3.2808^2</f>
        <v>0</v>
      </c>
      <c r="AC476" s="153">
        <f>SUMIF('USCG Summary'!$A$25:$A$50,A476,'USCG Summary'!$T$25:$T$50)/3.2808^2</f>
        <v>0</v>
      </c>
      <c r="AD476" s="153">
        <f>SUMIF('USCG Summary'!$A$25:$A$50,A476,'USCG Summary'!$W$25:$W$50)/3.2808^2</f>
        <v>0</v>
      </c>
      <c r="AE476" s="153">
        <f>SUMIF('USCG Summary'!$A$25:$A$50,A476,'USCG Summary'!$Z$25:$Z$50)/3.2808^2</f>
        <v>0</v>
      </c>
      <c r="AF476" s="155">
        <f>SUMIF(Comp!$A$75:$A$400,Areas!A476,Comp!$F$75:$F$400)</f>
        <v>0</v>
      </c>
      <c r="AG476" s="155">
        <f>SUMIF(Comp!$A$75:$A$400,Areas!A476,Comp!$G$75:$G$400)</f>
        <v>0</v>
      </c>
      <c r="AH476" s="155"/>
      <c r="AI476" s="155"/>
      <c r="AK476" s="147"/>
    </row>
    <row r="477" spans="1:37" s="132" customFormat="1">
      <c r="A477" s="142">
        <v>3.9420000000000002</v>
      </c>
      <c r="B477" s="132" t="str">
        <f>Comp!B360</f>
        <v>OILY WASTE TANKS</v>
      </c>
      <c r="C477" s="143">
        <f>SUM(C478:C480)</f>
        <v>0</v>
      </c>
      <c r="D477" s="143">
        <f>SUM(D478:D480)</f>
        <v>0</v>
      </c>
      <c r="E477" s="143">
        <f>SUM(E478:E480)</f>
        <v>0</v>
      </c>
      <c r="F477" s="143">
        <f>SUM(F478:F480)</f>
        <v>0</v>
      </c>
      <c r="G477" s="410"/>
      <c r="H477" s="410"/>
      <c r="I477" s="410"/>
      <c r="J477" s="410"/>
      <c r="K477" s="410"/>
      <c r="L477" s="410"/>
      <c r="M477" s="410"/>
      <c r="N477" s="410"/>
      <c r="O477" s="410"/>
      <c r="P477" s="143">
        <f t="shared" si="137"/>
        <v>12.1</v>
      </c>
      <c r="Q477" s="143">
        <f t="shared" si="138"/>
        <v>12.1</v>
      </c>
      <c r="S477" s="154">
        <f>SUMIF('Flt III'!D:D,A477,'Flt III'!E:E)/3.2808^2</f>
        <v>0</v>
      </c>
      <c r="T477" s="154">
        <f>SUMIF('Flt IIa'!A:A,A477,'Flt IIa'!E:E)/3.2808^2</f>
        <v>0</v>
      </c>
      <c r="U477" s="154">
        <f>SUMIF('OPC Des'!A:A,A477,'OPC Des'!F:F)/3.2808^2</f>
        <v>0</v>
      </c>
      <c r="V477" s="154">
        <f>SUMIF('LCS 5'!A:A,A477,'LCS 5'!E:E)</f>
        <v>0</v>
      </c>
      <c r="W477" s="154">
        <f>SUMIF('USCG Summary'!$A$25:$A$50,A477,'USCG Summary'!$D$25:$D$50)/3.2808^2</f>
        <v>0</v>
      </c>
      <c r="X477" s="153">
        <f>SUMIF('USCG Summary'!$A$25:$A$50,A477,'USCG Summary'!$I$25:$I$50)/3.2808^2</f>
        <v>0</v>
      </c>
      <c r="Y477" s="153">
        <f>SUMIF('USCG Summary'!$A$25:$A$50,A477,'USCG Summary'!$L$25:$L$50)/3.2808^2</f>
        <v>0</v>
      </c>
      <c r="Z477" s="153">
        <f>SUMIF('USCG Summary'!$A$25:$A$50,A477,'USCG Summary'!$O$25:$O$50)/3.2808^2</f>
        <v>0</v>
      </c>
      <c r="AA477" s="153">
        <f>SUMIF('USCG Summary'!$A$25:$A$50,A477,'USCG Summary'!$P$25:$P$50)/3.2808^2</f>
        <v>0</v>
      </c>
      <c r="AB477" s="153">
        <f>SUMIF('USCG Summary'!$A$25:$A$50,A477,'USCG Summary'!$Q$25:$Q$50)/3.2808^2</f>
        <v>0</v>
      </c>
      <c r="AC477" s="153">
        <f>SUMIF('USCG Summary'!$A$25:$A$50,A477,'USCG Summary'!$T$25:$T$50)/3.2808^2</f>
        <v>0</v>
      </c>
      <c r="AD477" s="153">
        <f>SUMIF('USCG Summary'!$A$25:$A$50,A477,'USCG Summary'!$W$25:$W$50)/3.2808^2</f>
        <v>0</v>
      </c>
      <c r="AE477" s="153">
        <f>SUMIF('USCG Summary'!$A$25:$A$50,A477,'USCG Summary'!$Z$25:$Z$50)/3.2808^2</f>
        <v>0</v>
      </c>
      <c r="AF477" s="154">
        <f>SUMIF(Comp!$A$75:$A$400,Areas!A477,Comp!$F$75:$F$400)</f>
        <v>12.1</v>
      </c>
      <c r="AG477" s="154">
        <f>SUMIF(Comp!$A$75:$A$400,Areas!A477,Comp!$G$75:$G$400)</f>
        <v>12.1</v>
      </c>
      <c r="AH477" s="154"/>
      <c r="AI477" s="154"/>
      <c r="AK477" s="143"/>
    </row>
    <row r="478" spans="1:37" s="148" customFormat="1">
      <c r="A478" s="146">
        <v>3.9420299999999999</v>
      </c>
      <c r="B478" s="146"/>
      <c r="C478" s="147">
        <f t="shared" ref="C478:F480" si="155">S478</f>
        <v>0</v>
      </c>
      <c r="D478" s="147">
        <f t="shared" si="155"/>
        <v>0</v>
      </c>
      <c r="E478" s="147">
        <f t="shared" si="155"/>
        <v>0</v>
      </c>
      <c r="F478" s="147">
        <f t="shared" si="155"/>
        <v>0</v>
      </c>
      <c r="G478" s="411"/>
      <c r="H478" s="411"/>
      <c r="I478" s="411"/>
      <c r="J478" s="411"/>
      <c r="K478" s="411"/>
      <c r="L478" s="411"/>
      <c r="M478" s="411"/>
      <c r="N478" s="411"/>
      <c r="O478" s="411"/>
      <c r="P478" s="147">
        <f t="shared" si="137"/>
        <v>0</v>
      </c>
      <c r="Q478" s="147">
        <f t="shared" si="138"/>
        <v>0</v>
      </c>
      <c r="S478" s="155">
        <f>SUMIF('Flt III'!D:D,A478,'Flt III'!E:E)/3.2808^2</f>
        <v>0</v>
      </c>
      <c r="T478" s="155">
        <f>SUMIF('Flt IIa'!A:A,A478,'Flt IIa'!E:E)/3.2808^2</f>
        <v>0</v>
      </c>
      <c r="U478" s="155">
        <f>SUMIF('OPC Des'!A:A,A478,'OPC Des'!F:F)/3.2808^2</f>
        <v>0</v>
      </c>
      <c r="V478" s="155">
        <f>SUMIF('LCS 5'!A:A,A478,'LCS 5'!E:E)</f>
        <v>0</v>
      </c>
      <c r="W478" s="155">
        <f>SUMIF('USCG Summary'!$A$25:$A$50,A478,'USCG Summary'!$D$25:$D$50)/3.2808^2</f>
        <v>0</v>
      </c>
      <c r="X478" s="153">
        <f>SUMIF('USCG Summary'!$A$25:$A$50,A478,'USCG Summary'!$I$25:$I$50)/3.2808^2</f>
        <v>0</v>
      </c>
      <c r="Y478" s="153">
        <f>SUMIF('USCG Summary'!$A$25:$A$50,A478,'USCG Summary'!$L$25:$L$50)/3.2808^2</f>
        <v>0</v>
      </c>
      <c r="Z478" s="153">
        <f>SUMIF('USCG Summary'!$A$25:$A$50,A478,'USCG Summary'!$O$25:$O$50)/3.2808^2</f>
        <v>0</v>
      </c>
      <c r="AA478" s="153">
        <f>SUMIF('USCG Summary'!$A$25:$A$50,A478,'USCG Summary'!$P$25:$P$50)/3.2808^2</f>
        <v>0</v>
      </c>
      <c r="AB478" s="153">
        <f>SUMIF('USCG Summary'!$A$25:$A$50,A478,'USCG Summary'!$Q$25:$Q$50)/3.2808^2</f>
        <v>0</v>
      </c>
      <c r="AC478" s="153">
        <f>SUMIF('USCG Summary'!$A$25:$A$50,A478,'USCG Summary'!$T$25:$T$50)/3.2808^2</f>
        <v>0</v>
      </c>
      <c r="AD478" s="153">
        <f>SUMIF('USCG Summary'!$A$25:$A$50,A478,'USCG Summary'!$W$25:$W$50)/3.2808^2</f>
        <v>0</v>
      </c>
      <c r="AE478" s="153">
        <f>SUMIF('USCG Summary'!$A$25:$A$50,A478,'USCG Summary'!$Z$25:$Z$50)/3.2808^2</f>
        <v>0</v>
      </c>
      <c r="AF478" s="155">
        <f>SUMIF(Comp!$A$75:$A$400,Areas!A478,Comp!$F$75:$F$400)</f>
        <v>0</v>
      </c>
      <c r="AG478" s="155">
        <f>SUMIF(Comp!$A$75:$A$400,Areas!A478,Comp!$G$75:$G$400)</f>
        <v>0</v>
      </c>
      <c r="AH478" s="155"/>
      <c r="AI478" s="155"/>
      <c r="AK478" s="147"/>
    </row>
    <row r="479" spans="1:37" s="148" customFormat="1">
      <c r="A479" s="146" t="s">
        <v>558</v>
      </c>
      <c r="B479" s="146"/>
      <c r="C479" s="147">
        <f t="shared" si="155"/>
        <v>0</v>
      </c>
      <c r="D479" s="147">
        <f t="shared" si="155"/>
        <v>0</v>
      </c>
      <c r="E479" s="147">
        <f t="shared" si="155"/>
        <v>0</v>
      </c>
      <c r="F479" s="147">
        <f t="shared" si="155"/>
        <v>0</v>
      </c>
      <c r="G479" s="411"/>
      <c r="H479" s="411"/>
      <c r="I479" s="411"/>
      <c r="J479" s="411"/>
      <c r="K479" s="411"/>
      <c r="L479" s="411"/>
      <c r="M479" s="411"/>
      <c r="N479" s="411"/>
      <c r="O479" s="411"/>
      <c r="P479" s="147">
        <f t="shared" si="137"/>
        <v>0</v>
      </c>
      <c r="Q479" s="147">
        <f t="shared" si="138"/>
        <v>0</v>
      </c>
      <c r="S479" s="155">
        <f>SUMIF('Flt III'!D:D,A479,'Flt III'!E:E)/3.2808^2</f>
        <v>0</v>
      </c>
      <c r="T479" s="155">
        <f>SUMIF('Flt IIa'!A:A,A479,'Flt IIa'!E:E)/3.2808^2</f>
        <v>0</v>
      </c>
      <c r="U479" s="155">
        <f>SUMIF('OPC Des'!A:A,A479,'OPC Des'!F:F)/3.2808^2</f>
        <v>0</v>
      </c>
      <c r="V479" s="155">
        <f>SUMIF('LCS 5'!A:A,A479,'LCS 5'!E:E)</f>
        <v>0</v>
      </c>
      <c r="W479" s="155">
        <f>SUMIF('USCG Summary'!$A$25:$A$50,A479,'USCG Summary'!$D$25:$D$50)/3.2808^2</f>
        <v>0</v>
      </c>
      <c r="X479" s="153">
        <f>SUMIF('USCG Summary'!$A$25:$A$50,A479,'USCG Summary'!$I$25:$I$50)/3.2808^2</f>
        <v>0</v>
      </c>
      <c r="Y479" s="153">
        <f>SUMIF('USCG Summary'!$A$25:$A$50,A479,'USCG Summary'!$L$25:$L$50)/3.2808^2</f>
        <v>0</v>
      </c>
      <c r="Z479" s="153">
        <f>SUMIF('USCG Summary'!$A$25:$A$50,A479,'USCG Summary'!$O$25:$O$50)/3.2808^2</f>
        <v>0</v>
      </c>
      <c r="AA479" s="153">
        <f>SUMIF('USCG Summary'!$A$25:$A$50,A479,'USCG Summary'!$P$25:$P$50)/3.2808^2</f>
        <v>0</v>
      </c>
      <c r="AB479" s="153">
        <f>SUMIF('USCG Summary'!$A$25:$A$50,A479,'USCG Summary'!$Q$25:$Q$50)/3.2808^2</f>
        <v>0</v>
      </c>
      <c r="AC479" s="153">
        <f>SUMIF('USCG Summary'!$A$25:$A$50,A479,'USCG Summary'!$T$25:$T$50)/3.2808^2</f>
        <v>0</v>
      </c>
      <c r="AD479" s="153">
        <f>SUMIF('USCG Summary'!$A$25:$A$50,A479,'USCG Summary'!$W$25:$W$50)/3.2808^2</f>
        <v>0</v>
      </c>
      <c r="AE479" s="153">
        <f>SUMIF('USCG Summary'!$A$25:$A$50,A479,'USCG Summary'!$Z$25:$Z$50)/3.2808^2</f>
        <v>0</v>
      </c>
      <c r="AF479" s="155">
        <f>SUMIF(Comp!$A$75:$A$400,Areas!A479,Comp!$F$75:$F$400)</f>
        <v>0</v>
      </c>
      <c r="AG479" s="155">
        <f>SUMIF(Comp!$A$75:$A$400,Areas!A479,Comp!$G$75:$G$400)</f>
        <v>0</v>
      </c>
      <c r="AH479" s="155"/>
      <c r="AI479" s="155"/>
      <c r="AK479" s="147"/>
    </row>
    <row r="480" spans="1:37" s="148" customFormat="1">
      <c r="A480" s="146" t="s">
        <v>555</v>
      </c>
      <c r="B480" s="146"/>
      <c r="C480" s="147">
        <f t="shared" si="155"/>
        <v>0</v>
      </c>
      <c r="D480" s="147">
        <f t="shared" si="155"/>
        <v>0</v>
      </c>
      <c r="E480" s="147">
        <f t="shared" si="155"/>
        <v>0</v>
      </c>
      <c r="F480" s="147">
        <f t="shared" si="155"/>
        <v>0</v>
      </c>
      <c r="G480" s="411"/>
      <c r="H480" s="411"/>
      <c r="I480" s="411"/>
      <c r="J480" s="411"/>
      <c r="K480" s="411"/>
      <c r="L480" s="411"/>
      <c r="M480" s="411"/>
      <c r="N480" s="411"/>
      <c r="O480" s="411"/>
      <c r="P480" s="147">
        <f t="shared" si="137"/>
        <v>0</v>
      </c>
      <c r="Q480" s="147">
        <f t="shared" si="138"/>
        <v>0</v>
      </c>
      <c r="S480" s="155">
        <f>SUMIF('Flt III'!D:D,A480,'Flt III'!E:E)/3.2808^2</f>
        <v>0</v>
      </c>
      <c r="T480" s="155">
        <f>SUMIF('Flt IIa'!A:A,A480,'Flt IIa'!E:E)/3.2808^2</f>
        <v>0</v>
      </c>
      <c r="U480" s="155">
        <f>SUMIF('OPC Des'!A:A,A480,'OPC Des'!F:F)/3.2808^2</f>
        <v>0</v>
      </c>
      <c r="V480" s="155">
        <f>SUMIF('LCS 5'!A:A,A480,'LCS 5'!E:E)</f>
        <v>0</v>
      </c>
      <c r="W480" s="155">
        <f>SUMIF('USCG Summary'!$A$25:$A$50,A480,'USCG Summary'!$D$25:$D$50)/3.2808^2</f>
        <v>0</v>
      </c>
      <c r="X480" s="153">
        <f>SUMIF('USCG Summary'!$A$25:$A$50,A480,'USCG Summary'!$I$25:$I$50)/3.2808^2</f>
        <v>0</v>
      </c>
      <c r="Y480" s="153">
        <f>SUMIF('USCG Summary'!$A$25:$A$50,A480,'USCG Summary'!$L$25:$L$50)/3.2808^2</f>
        <v>0</v>
      </c>
      <c r="Z480" s="153">
        <f>SUMIF('USCG Summary'!$A$25:$A$50,A480,'USCG Summary'!$O$25:$O$50)/3.2808^2</f>
        <v>0</v>
      </c>
      <c r="AA480" s="153">
        <f>SUMIF('USCG Summary'!$A$25:$A$50,A480,'USCG Summary'!$P$25:$P$50)/3.2808^2</f>
        <v>0</v>
      </c>
      <c r="AB480" s="153">
        <f>SUMIF('USCG Summary'!$A$25:$A$50,A480,'USCG Summary'!$Q$25:$Q$50)/3.2808^2</f>
        <v>0</v>
      </c>
      <c r="AC480" s="153">
        <f>SUMIF('USCG Summary'!$A$25:$A$50,A480,'USCG Summary'!$T$25:$T$50)/3.2808^2</f>
        <v>0</v>
      </c>
      <c r="AD480" s="153">
        <f>SUMIF('USCG Summary'!$A$25:$A$50,A480,'USCG Summary'!$W$25:$W$50)/3.2808^2</f>
        <v>0</v>
      </c>
      <c r="AE480" s="153">
        <f>SUMIF('USCG Summary'!$A$25:$A$50,A480,'USCG Summary'!$Z$25:$Z$50)/3.2808^2</f>
        <v>0</v>
      </c>
      <c r="AF480" s="155">
        <f>SUMIF(Comp!$A$75:$A$400,Areas!A480,Comp!$F$75:$F$400)</f>
        <v>0</v>
      </c>
      <c r="AG480" s="155">
        <f>SUMIF(Comp!$A$75:$A$400,Areas!A480,Comp!$G$75:$G$400)</f>
        <v>0</v>
      </c>
      <c r="AH480" s="155"/>
      <c r="AI480" s="155"/>
      <c r="AK480" s="147"/>
    </row>
    <row r="481" spans="1:37" s="134" customFormat="1">
      <c r="A481" s="140">
        <v>3.95</v>
      </c>
      <c r="B481" s="134" t="str">
        <f>Comp!B361</f>
        <v>VOIDS</v>
      </c>
      <c r="C481" s="149">
        <f>SUM(C482:C483)</f>
        <v>54.442505473682942</v>
      </c>
      <c r="D481" s="149">
        <f>T481</f>
        <v>49.146903405423679</v>
      </c>
      <c r="E481" s="149">
        <f>U481</f>
        <v>0</v>
      </c>
      <c r="F481" s="149">
        <f>SUM(F482:F483)</f>
        <v>6.14</v>
      </c>
      <c r="G481" s="409"/>
      <c r="H481" s="409"/>
      <c r="I481" s="409"/>
      <c r="J481" s="409"/>
      <c r="K481" s="409"/>
      <c r="L481" s="409"/>
      <c r="M481" s="409"/>
      <c r="N481" s="409"/>
      <c r="O481" s="409"/>
      <c r="P481" s="149">
        <f t="shared" si="137"/>
        <v>0</v>
      </c>
      <c r="Q481" s="149">
        <f t="shared" si="138"/>
        <v>0</v>
      </c>
      <c r="S481" s="153">
        <f>SUMIF('Flt III'!D:D,A481,'Flt III'!E:E)/3.2808^2</f>
        <v>0</v>
      </c>
      <c r="T481" s="153">
        <f>SUMIF('Flt IIa'!A:A,A481,'Flt IIa'!E:E)/3.2808^2</f>
        <v>49.146903405423679</v>
      </c>
      <c r="U481" s="153">
        <f>SUMIF('OPC Des'!A:A,A481,'OPC Des'!F:F)/3.2808^2</f>
        <v>0</v>
      </c>
      <c r="V481" s="153">
        <f>SUMIF('LCS 5'!A:A,A481,'LCS 5'!E:E)</f>
        <v>0</v>
      </c>
      <c r="W481" s="153">
        <f>SUMIF('USCG Summary'!$A$25:$A$50,A481,'USCG Summary'!$D$25:$D$50)/3.2808^2</f>
        <v>0</v>
      </c>
      <c r="X481" s="153">
        <f>SUMIF('USCG Summary'!$A$25:$A$50,A481,'USCG Summary'!$I$25:$I$50)/3.2808^2</f>
        <v>0</v>
      </c>
      <c r="Y481" s="153">
        <f>SUMIF('USCG Summary'!$A$25:$A$50,A481,'USCG Summary'!$L$25:$L$50)/3.2808^2</f>
        <v>0</v>
      </c>
      <c r="Z481" s="153">
        <f>SUMIF('USCG Summary'!$A$25:$A$50,A481,'USCG Summary'!$O$25:$O$50)/3.2808^2</f>
        <v>0</v>
      </c>
      <c r="AA481" s="153">
        <f>SUMIF('USCG Summary'!$A$25:$A$50,A481,'USCG Summary'!$P$25:$P$50)/3.2808^2</f>
        <v>0</v>
      </c>
      <c r="AB481" s="153">
        <f>SUMIF('USCG Summary'!$A$25:$A$50,A481,'USCG Summary'!$Q$25:$Q$50)/3.2808^2</f>
        <v>0</v>
      </c>
      <c r="AC481" s="153">
        <f>SUMIF('USCG Summary'!$A$25:$A$50,A481,'USCG Summary'!$T$25:$T$50)/3.2808^2</f>
        <v>0</v>
      </c>
      <c r="AD481" s="153">
        <f>SUMIF('USCG Summary'!$A$25:$A$50,A481,'USCG Summary'!$W$25:$W$50)/3.2808^2</f>
        <v>0</v>
      </c>
      <c r="AE481" s="153">
        <f>SUMIF('USCG Summary'!$A$25:$A$50,A481,'USCG Summary'!$Z$25:$Z$50)/3.2808^2</f>
        <v>0</v>
      </c>
      <c r="AF481" s="153">
        <f>SUMIF(Comp!$A$75:$A$400,Areas!A481,Comp!$F$75:$F$400)</f>
        <v>0</v>
      </c>
      <c r="AG481" s="153">
        <f>SUMIF(Comp!$A$75:$A$400,Areas!A481,Comp!$G$75:$G$400)</f>
        <v>0</v>
      </c>
      <c r="AH481" s="153"/>
      <c r="AI481" s="153"/>
      <c r="AK481" s="133"/>
    </row>
    <row r="482" spans="1:37" s="148" customFormat="1">
      <c r="A482" s="146" t="s">
        <v>533</v>
      </c>
      <c r="C482" s="147">
        <f t="shared" ref="C482:F483" si="156">S482</f>
        <v>54.442505473682942</v>
      </c>
      <c r="D482" s="147">
        <f t="shared" si="156"/>
        <v>0</v>
      </c>
      <c r="E482" s="147">
        <f t="shared" si="156"/>
        <v>0</v>
      </c>
      <c r="F482" s="147">
        <f t="shared" si="156"/>
        <v>6.14</v>
      </c>
      <c r="G482" s="411"/>
      <c r="H482" s="411"/>
      <c r="I482" s="411"/>
      <c r="J482" s="411"/>
      <c r="K482" s="411"/>
      <c r="L482" s="411"/>
      <c r="M482" s="411"/>
      <c r="N482" s="411"/>
      <c r="O482" s="411"/>
      <c r="P482" s="147">
        <f t="shared" si="137"/>
        <v>0</v>
      </c>
      <c r="Q482" s="147">
        <f t="shared" si="138"/>
        <v>0</v>
      </c>
      <c r="S482" s="155">
        <f>SUMIF('Flt III'!D:D,A482,'Flt III'!E:E)/3.2808^2</f>
        <v>54.442505473682942</v>
      </c>
      <c r="T482" s="155">
        <f>SUMIF('Flt IIa'!A:A,A482,'Flt IIa'!E:E)/3.2808^2</f>
        <v>0</v>
      </c>
      <c r="U482" s="155">
        <f>SUMIF('OPC Des'!A:A,A482,'OPC Des'!F:F)/3.2808^2</f>
        <v>0</v>
      </c>
      <c r="V482" s="155">
        <f>SUMIF('LCS 5'!A:A,A482,'LCS 5'!E:E)</f>
        <v>6.14</v>
      </c>
      <c r="W482" s="155">
        <f>SUMIF('USCG Summary'!$A$25:$A$50,A482,'USCG Summary'!$D$25:$D$50)/3.2808^2</f>
        <v>0</v>
      </c>
      <c r="X482" s="153">
        <f>SUMIF('USCG Summary'!$A$25:$A$50,A482,'USCG Summary'!$I$25:$I$50)/3.2808^2</f>
        <v>0</v>
      </c>
      <c r="Y482" s="153">
        <f>SUMIF('USCG Summary'!$A$25:$A$50,A482,'USCG Summary'!$L$25:$L$50)/3.2808^2</f>
        <v>0</v>
      </c>
      <c r="Z482" s="153">
        <f>SUMIF('USCG Summary'!$A$25:$A$50,A482,'USCG Summary'!$O$25:$O$50)/3.2808^2</f>
        <v>0</v>
      </c>
      <c r="AA482" s="153">
        <f>SUMIF('USCG Summary'!$A$25:$A$50,A482,'USCG Summary'!$P$25:$P$50)/3.2808^2</f>
        <v>0</v>
      </c>
      <c r="AB482" s="153">
        <f>SUMIF('USCG Summary'!$A$25:$A$50,A482,'USCG Summary'!$Q$25:$Q$50)/3.2808^2</f>
        <v>0</v>
      </c>
      <c r="AC482" s="153">
        <f>SUMIF('USCG Summary'!$A$25:$A$50,A482,'USCG Summary'!$T$25:$T$50)/3.2808^2</f>
        <v>0</v>
      </c>
      <c r="AD482" s="153">
        <f>SUMIF('USCG Summary'!$A$25:$A$50,A482,'USCG Summary'!$W$25:$W$50)/3.2808^2</f>
        <v>0</v>
      </c>
      <c r="AE482" s="153">
        <f>SUMIF('USCG Summary'!$A$25:$A$50,A482,'USCG Summary'!$Z$25:$Z$50)/3.2808^2</f>
        <v>0</v>
      </c>
      <c r="AF482" s="155">
        <f>SUMIF(Comp!$A$75:$A$400,Areas!A482,Comp!$F$75:$F$400)</f>
        <v>0</v>
      </c>
      <c r="AG482" s="155">
        <f>SUMIF(Comp!$A$75:$A$400,Areas!A482,Comp!$G$75:$G$400)</f>
        <v>0</v>
      </c>
      <c r="AH482" s="155"/>
      <c r="AI482" s="155"/>
      <c r="AK482" s="147"/>
    </row>
    <row r="483" spans="1:37" s="148" customFormat="1">
      <c r="A483" s="146">
        <v>3.9500199999999999</v>
      </c>
      <c r="C483" s="147">
        <f t="shared" si="156"/>
        <v>0</v>
      </c>
      <c r="D483" s="147">
        <f t="shared" si="156"/>
        <v>0</v>
      </c>
      <c r="E483" s="147">
        <f t="shared" si="156"/>
        <v>0</v>
      </c>
      <c r="F483" s="147">
        <f t="shared" si="156"/>
        <v>0</v>
      </c>
      <c r="G483" s="411"/>
      <c r="H483" s="411"/>
      <c r="I483" s="411"/>
      <c r="J483" s="411"/>
      <c r="K483" s="411"/>
      <c r="L483" s="411"/>
      <c r="M483" s="411"/>
      <c r="N483" s="411"/>
      <c r="O483" s="411"/>
      <c r="P483" s="147">
        <f t="shared" si="137"/>
        <v>0</v>
      </c>
      <c r="Q483" s="147">
        <f t="shared" si="138"/>
        <v>0</v>
      </c>
      <c r="S483" s="155">
        <f>SUMIF('Flt III'!D:D,A483,'Flt III'!E:E)/3.2808^2</f>
        <v>0</v>
      </c>
      <c r="T483" s="155">
        <f>SUMIF('Flt IIa'!A:A,A483,'Flt IIa'!E:E)/3.2808^2</f>
        <v>0</v>
      </c>
      <c r="U483" s="155">
        <f>SUMIF('OPC Des'!A:A,A483,'OPC Des'!F:F)/3.2808^2</f>
        <v>0</v>
      </c>
      <c r="V483" s="155">
        <f>SUMIF('LCS 5'!A:A,A483,'LCS 5'!E:E)</f>
        <v>0</v>
      </c>
      <c r="W483" s="155">
        <f>SUMIF('USCG Summary'!$A$25:$A$50,A483,'USCG Summary'!$D$25:$D$50)/3.2808^2</f>
        <v>0</v>
      </c>
      <c r="X483" s="153">
        <f>SUMIF('USCG Summary'!$A$25:$A$50,A483,'USCG Summary'!$I$25:$I$50)/3.2808^2</f>
        <v>0</v>
      </c>
      <c r="Y483" s="153">
        <f>SUMIF('USCG Summary'!$A$25:$A$50,A483,'USCG Summary'!$L$25:$L$50)/3.2808^2</f>
        <v>0</v>
      </c>
      <c r="Z483" s="153">
        <f>SUMIF('USCG Summary'!$A$25:$A$50,A483,'USCG Summary'!$O$25:$O$50)/3.2808^2</f>
        <v>0</v>
      </c>
      <c r="AA483" s="153">
        <f>SUMIF('USCG Summary'!$A$25:$A$50,A483,'USCG Summary'!$P$25:$P$50)/3.2808^2</f>
        <v>0</v>
      </c>
      <c r="AB483" s="153">
        <f>SUMIF('USCG Summary'!$A$25:$A$50,A483,'USCG Summary'!$Q$25:$Q$50)/3.2808^2</f>
        <v>0</v>
      </c>
      <c r="AC483" s="153">
        <f>SUMIF('USCG Summary'!$A$25:$A$50,A483,'USCG Summary'!$T$25:$T$50)/3.2808^2</f>
        <v>0</v>
      </c>
      <c r="AD483" s="153">
        <f>SUMIF('USCG Summary'!$A$25:$A$50,A483,'USCG Summary'!$W$25:$W$50)/3.2808^2</f>
        <v>0</v>
      </c>
      <c r="AE483" s="153">
        <f>SUMIF('USCG Summary'!$A$25:$A$50,A483,'USCG Summary'!$Z$25:$Z$50)/3.2808^2</f>
        <v>0</v>
      </c>
      <c r="AF483" s="155">
        <f>SUMIF(Comp!$A$75:$A$400,Areas!A483,Comp!$F$75:$F$400)</f>
        <v>0</v>
      </c>
      <c r="AG483" s="155">
        <f>SUMIF(Comp!$A$75:$A$400,Areas!A483,Comp!$G$75:$G$400)</f>
        <v>0</v>
      </c>
      <c r="AH483" s="155"/>
      <c r="AI483" s="155"/>
      <c r="AK483" s="147"/>
    </row>
    <row r="484" spans="1:37" s="134" customFormat="1">
      <c r="A484" s="140">
        <v>3.96</v>
      </c>
      <c r="B484" s="134" t="str">
        <f>Comp!B362</f>
        <v>COFFERDAMS</v>
      </c>
      <c r="C484" s="149">
        <f>SUM(C485)</f>
        <v>0</v>
      </c>
      <c r="D484" s="149">
        <f>SUM(D485)</f>
        <v>0</v>
      </c>
      <c r="E484" s="149">
        <f>SUM(E485)</f>
        <v>0</v>
      </c>
      <c r="F484" s="149">
        <f>SUM(F485)</f>
        <v>0</v>
      </c>
      <c r="G484" s="409"/>
      <c r="H484" s="409"/>
      <c r="I484" s="409"/>
      <c r="J484" s="409"/>
      <c r="K484" s="409"/>
      <c r="L484" s="409"/>
      <c r="M484" s="409"/>
      <c r="N484" s="409"/>
      <c r="O484" s="409"/>
      <c r="P484" s="149">
        <f t="shared" ref="P484:Q543" si="157">AF484</f>
        <v>0</v>
      </c>
      <c r="Q484" s="149">
        <f t="shared" ref="Q484:Q486" si="158">AG484</f>
        <v>0</v>
      </c>
      <c r="S484" s="153">
        <f>SUMIF('Flt III'!D:D,A484,'Flt III'!E:E)/3.2808^2</f>
        <v>0</v>
      </c>
      <c r="T484" s="153">
        <f>SUMIF('Flt IIa'!A:A,A484,'Flt IIa'!E:E)/3.2808^2</f>
        <v>0</v>
      </c>
      <c r="U484" s="153">
        <f>SUMIF('OPC Des'!A:A,A484,'OPC Des'!F:F)/3.2808^2</f>
        <v>0</v>
      </c>
      <c r="V484" s="153">
        <f>SUMIF('LCS 5'!A:A,A484,'LCS 5'!E:E)</f>
        <v>0</v>
      </c>
      <c r="W484" s="153">
        <f>SUMIF('USCG Summary'!$A$25:$A$50,A484,'USCG Summary'!$D$25:$D$50)/3.2808^2</f>
        <v>0</v>
      </c>
      <c r="X484" s="153">
        <f>SUMIF('USCG Summary'!$A$25:$A$50,A484,'USCG Summary'!$I$25:$I$50)/3.2808^2</f>
        <v>0</v>
      </c>
      <c r="Y484" s="153">
        <f>SUMIF('USCG Summary'!$A$25:$A$50,A484,'USCG Summary'!$L$25:$L$50)/3.2808^2</f>
        <v>0</v>
      </c>
      <c r="Z484" s="153">
        <f>SUMIF('USCG Summary'!$A$25:$A$50,A484,'USCG Summary'!$O$25:$O$50)/3.2808^2</f>
        <v>0</v>
      </c>
      <c r="AA484" s="153">
        <f>SUMIF('USCG Summary'!$A$25:$A$50,A484,'USCG Summary'!$P$25:$P$50)/3.2808^2</f>
        <v>0</v>
      </c>
      <c r="AB484" s="153">
        <f>SUMIF('USCG Summary'!$A$25:$A$50,A484,'USCG Summary'!$Q$25:$Q$50)/3.2808^2</f>
        <v>0</v>
      </c>
      <c r="AC484" s="153">
        <f>SUMIF('USCG Summary'!$A$25:$A$50,A484,'USCG Summary'!$T$25:$T$50)/3.2808^2</f>
        <v>0</v>
      </c>
      <c r="AD484" s="153">
        <f>SUMIF('USCG Summary'!$A$25:$A$50,A484,'USCG Summary'!$W$25:$W$50)/3.2808^2</f>
        <v>0</v>
      </c>
      <c r="AE484" s="153">
        <f>SUMIF('USCG Summary'!$A$25:$A$50,A484,'USCG Summary'!$Z$25:$Z$50)/3.2808^2</f>
        <v>0</v>
      </c>
      <c r="AF484" s="153">
        <f>SUMIF(Comp!$A$75:$A$400,Areas!A484,Comp!$F$75:$F$400)</f>
        <v>0</v>
      </c>
      <c r="AG484" s="153">
        <f>SUMIF(Comp!$A$75:$A$400,Areas!A484,Comp!$G$75:$G$400)</f>
        <v>0</v>
      </c>
      <c r="AH484" s="153"/>
      <c r="AI484" s="153"/>
      <c r="AK484" s="133"/>
    </row>
    <row r="485" spans="1:37" s="148" customFormat="1">
      <c r="A485" s="146" t="s">
        <v>520</v>
      </c>
      <c r="C485" s="147">
        <f t="shared" ref="C485:F485" si="159">S485</f>
        <v>0</v>
      </c>
      <c r="D485" s="147">
        <f t="shared" si="159"/>
        <v>0</v>
      </c>
      <c r="E485" s="147">
        <f t="shared" si="159"/>
        <v>0</v>
      </c>
      <c r="F485" s="147">
        <f t="shared" si="159"/>
        <v>0</v>
      </c>
      <c r="G485" s="411"/>
      <c r="H485" s="411"/>
      <c r="I485" s="411"/>
      <c r="J485" s="411"/>
      <c r="K485" s="411"/>
      <c r="L485" s="411"/>
      <c r="M485" s="411"/>
      <c r="N485" s="411"/>
      <c r="O485" s="411"/>
      <c r="P485" s="147">
        <f t="shared" si="157"/>
        <v>0</v>
      </c>
      <c r="Q485" s="147">
        <f t="shared" si="158"/>
        <v>0</v>
      </c>
      <c r="S485" s="155">
        <f>SUMIF('Flt III'!D:D,A485,'Flt III'!E:E)/3.2808^2</f>
        <v>0</v>
      </c>
      <c r="T485" s="155">
        <f>SUMIF('Flt IIa'!A:A,A485,'Flt IIa'!E:E)/3.2808^2</f>
        <v>0</v>
      </c>
      <c r="U485" s="155">
        <f>SUMIF('OPC Des'!A:A,A485,'OPC Des'!F:F)/3.2808^2</f>
        <v>0</v>
      </c>
      <c r="V485" s="155">
        <f>SUMIF('LCS 5'!A:A,A485,'LCS 5'!E:E)</f>
        <v>0</v>
      </c>
      <c r="W485" s="155">
        <f>SUMIF('USCG Summary'!$A$25:$A$50,A485,'USCG Summary'!$D$25:$D$50)/3.2808^2</f>
        <v>0</v>
      </c>
      <c r="X485" s="153">
        <f>SUMIF('USCG Summary'!$A$25:$A$50,A485,'USCG Summary'!$I$25:$I$50)/3.2808^2</f>
        <v>0</v>
      </c>
      <c r="Y485" s="153">
        <f>SUMIF('USCG Summary'!$A$25:$A$50,A485,'USCG Summary'!$L$25:$L$50)/3.2808^2</f>
        <v>0</v>
      </c>
      <c r="Z485" s="153">
        <f>SUMIF('USCG Summary'!$A$25:$A$50,A485,'USCG Summary'!$O$25:$O$50)/3.2808^2</f>
        <v>0</v>
      </c>
      <c r="AA485" s="153">
        <f>SUMIF('USCG Summary'!$A$25:$A$50,A485,'USCG Summary'!$P$25:$P$50)/3.2808^2</f>
        <v>0</v>
      </c>
      <c r="AB485" s="153">
        <f>SUMIF('USCG Summary'!$A$25:$A$50,A485,'USCG Summary'!$Q$25:$Q$50)/3.2808^2</f>
        <v>0</v>
      </c>
      <c r="AC485" s="153">
        <f>SUMIF('USCG Summary'!$A$25:$A$50,A485,'USCG Summary'!$T$25:$T$50)/3.2808^2</f>
        <v>0</v>
      </c>
      <c r="AD485" s="153">
        <f>SUMIF('USCG Summary'!$A$25:$A$50,A485,'USCG Summary'!$W$25:$W$50)/3.2808^2</f>
        <v>0</v>
      </c>
      <c r="AE485" s="153">
        <f>SUMIF('USCG Summary'!$A$25:$A$50,A485,'USCG Summary'!$Z$25:$Z$50)/3.2808^2</f>
        <v>0</v>
      </c>
      <c r="AF485" s="155">
        <f>SUMIF(Comp!$A$75:$A$400,Areas!A485,Comp!$F$75:$F$400)</f>
        <v>0</v>
      </c>
      <c r="AG485" s="155">
        <f>SUMIF(Comp!$A$75:$A$400,Areas!A485,Comp!$G$75:$G$400)</f>
        <v>0</v>
      </c>
      <c r="AH485" s="155"/>
      <c r="AI485" s="155"/>
      <c r="AK485" s="147"/>
    </row>
    <row r="486" spans="1:37" s="134" customFormat="1">
      <c r="A486" s="140">
        <v>3.97</v>
      </c>
      <c r="B486" s="134" t="str">
        <f>Comp!B363</f>
        <v>CROSS FLOODING DUCTS</v>
      </c>
      <c r="C486" s="149">
        <f>S486</f>
        <v>0</v>
      </c>
      <c r="D486" s="149">
        <f>T486</f>
        <v>0</v>
      </c>
      <c r="E486" s="149">
        <f>U486</f>
        <v>0</v>
      </c>
      <c r="F486" s="149">
        <f>V486</f>
        <v>0</v>
      </c>
      <c r="G486" s="409"/>
      <c r="H486" s="409"/>
      <c r="I486" s="409"/>
      <c r="J486" s="409"/>
      <c r="K486" s="409"/>
      <c r="L486" s="409"/>
      <c r="M486" s="409"/>
      <c r="N486" s="409"/>
      <c r="O486" s="409"/>
      <c r="P486" s="149">
        <f t="shared" si="157"/>
        <v>0</v>
      </c>
      <c r="Q486" s="149">
        <f t="shared" si="158"/>
        <v>0</v>
      </c>
      <c r="S486" s="153">
        <f>SUMIF('Flt III'!D:D,A486,'Flt III'!E:E)/3.2808^2</f>
        <v>0</v>
      </c>
      <c r="T486" s="153">
        <f>SUMIF('Flt IIa'!A:A,A486,'Flt IIa'!E:E)/3.2808^2</f>
        <v>0</v>
      </c>
      <c r="U486" s="153">
        <f>SUMIF('OPC Des'!A:A,A486,'OPC Des'!F:F)/3.2808^2</f>
        <v>0</v>
      </c>
      <c r="V486" s="153">
        <f>SUMIF('LCS 5'!A:A,A486,'LCS 5'!E:E)</f>
        <v>0</v>
      </c>
      <c r="W486" s="153">
        <f>SUMIF('USCG Summary'!$A$25:$A$50,A486,'USCG Summary'!$D$25:$D$50)/3.2808^2</f>
        <v>0</v>
      </c>
      <c r="X486" s="153">
        <f>SUMIF('USCG Summary'!$A$25:$A$50,A486,'USCG Summary'!$I$25:$I$50)/3.2808^2</f>
        <v>0</v>
      </c>
      <c r="Y486" s="153">
        <f>SUMIF('USCG Summary'!$A$25:$A$50,A486,'USCG Summary'!$L$25:$L$50)/3.2808^2</f>
        <v>0</v>
      </c>
      <c r="Z486" s="153">
        <f>SUMIF('USCG Summary'!$A$25:$A$50,A486,'USCG Summary'!$O$25:$O$50)/3.2808^2</f>
        <v>0</v>
      </c>
      <c r="AA486" s="153">
        <f>SUMIF('USCG Summary'!$A$25:$A$50,A486,'USCG Summary'!$P$25:$P$50)/3.2808^2</f>
        <v>0</v>
      </c>
      <c r="AB486" s="153">
        <f>SUMIF('USCG Summary'!$A$25:$A$50,A486,'USCG Summary'!$Q$25:$Q$50)/3.2808^2</f>
        <v>0</v>
      </c>
      <c r="AC486" s="153">
        <f>SUMIF('USCG Summary'!$A$25:$A$50,A486,'USCG Summary'!$T$25:$T$50)/3.2808^2</f>
        <v>0</v>
      </c>
      <c r="AD486" s="153">
        <f>SUMIF('USCG Summary'!$A$25:$A$50,A486,'USCG Summary'!$W$25:$W$50)/3.2808^2</f>
        <v>0</v>
      </c>
      <c r="AE486" s="153">
        <f>SUMIF('USCG Summary'!$A$25:$A$50,A486,'USCG Summary'!$Z$25:$Z$50)/3.2808^2</f>
        <v>0</v>
      </c>
      <c r="AF486" s="153">
        <f>SUMIF(Comp!$A$75:$A$400,Areas!A486,Comp!$F$75:$F$400)</f>
        <v>0</v>
      </c>
      <c r="AG486" s="153">
        <f>SUMIF(Comp!$A$75:$A$400,Areas!A486,Comp!$G$75:$G$400)</f>
        <v>0</v>
      </c>
      <c r="AH486" s="153"/>
      <c r="AI486" s="153"/>
      <c r="AK486" s="133"/>
    </row>
    <row r="488" spans="1:37" s="136" customFormat="1">
      <c r="A488" s="135">
        <v>4</v>
      </c>
      <c r="B488" s="136" t="str">
        <f>Comp!B365</f>
        <v>SHIP MACHINERY SYSTEM</v>
      </c>
      <c r="C488" s="158">
        <f>C489+C510+C517</f>
        <v>1081.3247802187639</v>
      </c>
      <c r="D488" s="158">
        <f t="shared" ref="D488:F488" si="160">D489+D510+D517</f>
        <v>911.40098753725192</v>
      </c>
      <c r="E488" s="158">
        <f t="shared" si="160"/>
        <v>356.19891806501778</v>
      </c>
      <c r="F488" s="158">
        <f t="shared" si="160"/>
        <v>491.18900000000002</v>
      </c>
      <c r="G488" s="158">
        <f t="shared" ref="G488" si="161">G489+G510+G517</f>
        <v>27.174800087119898</v>
      </c>
      <c r="H488" s="158">
        <f t="shared" ref="H488" si="162">H489+H510+H517</f>
        <v>62.618171824679692</v>
      </c>
      <c r="I488" s="158">
        <f t="shared" ref="I488" si="163">I489+I510+I517</f>
        <v>74.417144853959101</v>
      </c>
      <c r="J488" s="158">
        <f t="shared" ref="J488" si="164">J489+J510+J517</f>
        <v>98.247354161125784</v>
      </c>
      <c r="K488" s="158">
        <f t="shared" ref="K488" si="165">K489+K510+K517</f>
        <v>0</v>
      </c>
      <c r="L488" s="158">
        <f t="shared" ref="L488" si="166">L489+L510+L517</f>
        <v>0</v>
      </c>
      <c r="M488" s="158">
        <f t="shared" ref="M488" si="167">M489+M510+M517</f>
        <v>408.08652780401417</v>
      </c>
      <c r="N488" s="158">
        <f t="shared" ref="N488" si="168">N489+N510+N517</f>
        <v>754.48393677778017</v>
      </c>
      <c r="O488" s="158">
        <f t="shared" ref="O488" si="169">O489+O510+O517</f>
        <v>841.0716758587912</v>
      </c>
      <c r="P488" s="135">
        <f t="shared" si="157"/>
        <v>409.3</v>
      </c>
      <c r="Q488" s="135">
        <f t="shared" si="157"/>
        <v>411.6</v>
      </c>
      <c r="S488" s="151">
        <f>SUMIF('Flt III'!D:D,A488,'Flt III'!E:E)/3.2808^2</f>
        <v>0</v>
      </c>
      <c r="T488" s="151">
        <f>SUMIF('Flt IIa'!A:A,A488,'Flt IIa'!E:E)/3.2808^2</f>
        <v>0</v>
      </c>
      <c r="U488" s="151">
        <f>SUMIF('OPC Des'!A:A,A488,'OPC Des'!F:F)/3.2808^2</f>
        <v>0</v>
      </c>
      <c r="V488" s="151">
        <f>SUMIF('LCS 5'!A:A,A488,'LCS 5'!E:E)</f>
        <v>0</v>
      </c>
      <c r="W488" s="151">
        <f>SUMIF('USCG Summary'!$A$25:$A$50,A488,'USCG Summary'!$D$25:$D$50)/3.2808^2</f>
        <v>0</v>
      </c>
      <c r="X488" s="153">
        <f>SUMIF('USCG Summary'!$A$25:$A$50,A488,'USCG Summary'!$I$25:$I$50)/3.2808^2</f>
        <v>0</v>
      </c>
      <c r="Y488" s="153">
        <f>SUMIF('USCG Summary'!$A$25:$A$50,A488,'USCG Summary'!$L$25:$L$50)/3.2808^2</f>
        <v>0</v>
      </c>
      <c r="Z488" s="153">
        <f>SUMIF('USCG Summary'!$A$25:$A$50,A488,'USCG Summary'!$O$25:$O$50)/3.2808^2</f>
        <v>0</v>
      </c>
      <c r="AA488" s="153">
        <f>SUMIF('USCG Summary'!$A$25:$A$50,A488,'USCG Summary'!$P$25:$P$50)/3.2808^2</f>
        <v>0</v>
      </c>
      <c r="AB488" s="153">
        <f>SUMIF('USCG Summary'!$A$25:$A$50,A488,'USCG Summary'!$Q$25:$Q$50)/3.2808^2</f>
        <v>0</v>
      </c>
      <c r="AC488" s="153">
        <f>SUMIF('USCG Summary'!$A$25:$A$50,A488,'USCG Summary'!$T$25:$T$50)/3.2808^2</f>
        <v>0</v>
      </c>
      <c r="AD488" s="153">
        <f>SUMIF('USCG Summary'!$A$25:$A$50,A488,'USCG Summary'!$W$25:$W$50)/3.2808^2</f>
        <v>0</v>
      </c>
      <c r="AE488" s="153">
        <f>SUMIF('USCG Summary'!$A$25:$A$50,A488,'USCG Summary'!$Z$25:$Z$50)/3.2808^2</f>
        <v>0</v>
      </c>
      <c r="AF488" s="151">
        <f>SUMIF(Comp!$A$75:$A$400,Areas!A488,Comp!$F$75:$F$400)</f>
        <v>409.3</v>
      </c>
      <c r="AG488" s="151">
        <f>SUMIF(Comp!$A$75:$A$400,Areas!A488,Comp!$G$75:$G$400)</f>
        <v>411.6</v>
      </c>
      <c r="AH488" s="151"/>
      <c r="AI488" s="151"/>
      <c r="AK488" s="135"/>
    </row>
    <row r="489" spans="1:37" s="139" customFormat="1">
      <c r="A489" s="137">
        <v>4.0999999999999996</v>
      </c>
      <c r="B489" s="139" t="str">
        <f>Comp!B366</f>
        <v>PROPULSION SYSTEM</v>
      </c>
      <c r="C489" s="150">
        <f>C490+C495+C503+C509</f>
        <v>663.90126982071376</v>
      </c>
      <c r="D489" s="150">
        <f t="shared" ref="D489:F489" si="170">D490+D495+D503+D509</f>
        <v>613.45369222308614</v>
      </c>
      <c r="E489" s="150">
        <f t="shared" si="170"/>
        <v>0</v>
      </c>
      <c r="F489" s="150">
        <f t="shared" si="170"/>
        <v>107.75999999999999</v>
      </c>
      <c r="G489" s="150">
        <f>W489</f>
        <v>16.258427402550367</v>
      </c>
      <c r="H489" s="150">
        <f t="shared" ref="H489:O489" si="171">X489</f>
        <v>45.988123224356748</v>
      </c>
      <c r="I489" s="150">
        <f t="shared" si="171"/>
        <v>48.775282207651095</v>
      </c>
      <c r="J489" s="150">
        <f t="shared" si="171"/>
        <v>40.971237054426922</v>
      </c>
      <c r="K489" s="150">
        <f t="shared" si="171"/>
        <v>0</v>
      </c>
      <c r="L489" s="150">
        <f t="shared" si="171"/>
        <v>0</v>
      </c>
      <c r="M489" s="150">
        <f t="shared" si="171"/>
        <v>193.93981258756509</v>
      </c>
      <c r="N489" s="150">
        <f t="shared" si="171"/>
        <v>370.04180768204634</v>
      </c>
      <c r="O489" s="150">
        <f t="shared" si="171"/>
        <v>471.86601587173317</v>
      </c>
      <c r="P489" s="138">
        <f t="shared" si="157"/>
        <v>636.4</v>
      </c>
      <c r="Q489" s="138">
        <f t="shared" si="157"/>
        <v>636.4</v>
      </c>
      <c r="S489" s="152">
        <f>SUMIF('Flt III'!D:D,A489,'Flt III'!E:E)/3.2808^2</f>
        <v>0</v>
      </c>
      <c r="T489" s="152">
        <f>SUMIF('Flt IIa'!A:A,A489,'Flt IIa'!E:E)/3.2808^2</f>
        <v>0</v>
      </c>
      <c r="U489" s="152">
        <f>SUMIF('OPC Des'!A:A,A489,'OPC Des'!F:F)/3.2808^2</f>
        <v>0</v>
      </c>
      <c r="V489" s="152">
        <f>SUMIF('LCS 5'!A:A,A489,'LCS 5'!E:E)</f>
        <v>0</v>
      </c>
      <c r="W489" s="152">
        <f>SUMIF('USCG Summary'!$A$25:$A$50,A489,'USCG Summary'!$D$25:$D$50)/3.2808^2</f>
        <v>16.258427402550367</v>
      </c>
      <c r="X489" s="153">
        <f>SUMIF('USCG Summary'!$A$25:$A$50,A489,'USCG Summary'!$I$25:$I$50)/3.2808^2</f>
        <v>45.988123224356748</v>
      </c>
      <c r="Y489" s="153">
        <f>SUMIF('USCG Summary'!$A$25:$A$50,A489,'USCG Summary'!$L$25:$L$50)/3.2808^2</f>
        <v>48.775282207651095</v>
      </c>
      <c r="Z489" s="153">
        <f>SUMIF('USCG Summary'!$A$25:$A$50,A489,'USCG Summary'!$O$25:$O$50)/3.2808^2</f>
        <v>40.971237054426922</v>
      </c>
      <c r="AA489" s="153">
        <f>SUMIF('USCG Summary'!$A$25:$A$50,A489,'USCG Summary'!$P$25:$P$50)/3.2808^2</f>
        <v>0</v>
      </c>
      <c r="AB489" s="153">
        <f>SUMIF('USCG Summary'!$A$25:$A$50,A489,'USCG Summary'!$Q$25:$Q$50)/3.2808^2</f>
        <v>0</v>
      </c>
      <c r="AC489" s="153">
        <f>SUMIF('USCG Summary'!$A$25:$A$50,A489,'USCG Summary'!$T$25:$T$50)/3.2808^2</f>
        <v>193.93981258756509</v>
      </c>
      <c r="AD489" s="153">
        <f>SUMIF('USCG Summary'!$A$25:$A$50,A489,'USCG Summary'!$W$25:$W$50)/3.2808^2</f>
        <v>370.04180768204634</v>
      </c>
      <c r="AE489" s="153">
        <f>SUMIF('USCG Summary'!$A$25:$A$50,A489,'USCG Summary'!$Z$25:$Z$50)/3.2808^2</f>
        <v>471.86601587173317</v>
      </c>
      <c r="AF489" s="152">
        <f>SUMIF(Comp!$A$75:$A$400,Areas!A489,Comp!$F$75:$F$400)</f>
        <v>636.4</v>
      </c>
      <c r="AG489" s="152">
        <f>SUMIF(Comp!$A$75:$A$400,Areas!A489,Comp!$G$75:$G$400)</f>
        <v>636.4</v>
      </c>
      <c r="AH489" s="152"/>
      <c r="AI489" s="152"/>
      <c r="AK489" s="138"/>
    </row>
    <row r="490" spans="1:37" s="134" customFormat="1">
      <c r="A490" s="140">
        <v>4.13</v>
      </c>
      <c r="B490" s="134" t="str">
        <f>Comp!B367</f>
        <v>INTERNAL COMBUSTION</v>
      </c>
      <c r="C490" s="149">
        <f>SUM(C491:C494)</f>
        <v>0</v>
      </c>
      <c r="D490" s="149">
        <f t="shared" ref="D490:F490" si="172">SUM(D491:D494)</f>
        <v>0</v>
      </c>
      <c r="E490" s="149">
        <f t="shared" si="172"/>
        <v>0</v>
      </c>
      <c r="F490" s="149">
        <f t="shared" si="172"/>
        <v>0</v>
      </c>
      <c r="G490" s="149"/>
      <c r="H490" s="149"/>
      <c r="I490" s="149"/>
      <c r="J490" s="149"/>
      <c r="K490" s="149"/>
      <c r="L490" s="149"/>
      <c r="M490" s="149"/>
      <c r="N490" s="149"/>
      <c r="O490" s="149"/>
      <c r="P490" s="149">
        <f t="shared" si="157"/>
        <v>174.6</v>
      </c>
      <c r="Q490" s="149">
        <f t="shared" si="157"/>
        <v>174.6</v>
      </c>
      <c r="S490" s="153">
        <f>SUMIF('Flt III'!D:D,A490,'Flt III'!E:E)/3.2808^2</f>
        <v>0</v>
      </c>
      <c r="T490" s="153">
        <f>SUMIF('Flt IIa'!A:A,A490,'Flt IIa'!E:E)/3.2808^2</f>
        <v>0</v>
      </c>
      <c r="U490" s="153">
        <f>SUMIF('OPC Des'!A:A,A490,'OPC Des'!F:F)/3.2808^2</f>
        <v>0</v>
      </c>
      <c r="V490" s="153">
        <f>SUMIF('LCS 5'!A:A,A490,'LCS 5'!E:E)</f>
        <v>0</v>
      </c>
      <c r="W490" s="153">
        <f>SUMIF('USCG Summary'!$A$25:$A$50,A490,'USCG Summary'!$D$25:$D$50)/3.2808^2</f>
        <v>0</v>
      </c>
      <c r="X490" s="153">
        <f>SUMIF('USCG Summary'!$A$25:$A$50,A490,'USCG Summary'!$I$25:$I$50)/3.2808^2</f>
        <v>0</v>
      </c>
      <c r="Y490" s="153">
        <f>SUMIF('USCG Summary'!$A$25:$A$50,A490,'USCG Summary'!$L$25:$L$50)/3.2808^2</f>
        <v>0</v>
      </c>
      <c r="Z490" s="153">
        <f>SUMIF('USCG Summary'!$A$25:$A$50,A490,'USCG Summary'!$O$25:$O$50)/3.2808^2</f>
        <v>0</v>
      </c>
      <c r="AA490" s="153">
        <f>SUMIF('USCG Summary'!$A$25:$A$50,A490,'USCG Summary'!$P$25:$P$50)/3.2808^2</f>
        <v>0</v>
      </c>
      <c r="AB490" s="153">
        <f>SUMIF('USCG Summary'!$A$25:$A$50,A490,'USCG Summary'!$Q$25:$Q$50)/3.2808^2</f>
        <v>0</v>
      </c>
      <c r="AC490" s="153">
        <f>SUMIF('USCG Summary'!$A$25:$A$50,A490,'USCG Summary'!$T$25:$T$50)/3.2808^2</f>
        <v>0</v>
      </c>
      <c r="AD490" s="153">
        <f>SUMIF('USCG Summary'!$A$25:$A$50,A490,'USCG Summary'!$W$25:$W$50)/3.2808^2</f>
        <v>0</v>
      </c>
      <c r="AE490" s="153">
        <f>SUMIF('USCG Summary'!$A$25:$A$50,A490,'USCG Summary'!$Z$25:$Z$50)/3.2808^2</f>
        <v>0</v>
      </c>
      <c r="AF490" s="153">
        <f>SUMIF(Comp!$A$75:$A$400,Areas!A490,Comp!$F$75:$F$400)</f>
        <v>174.6</v>
      </c>
      <c r="AG490" s="153">
        <f>SUMIF(Comp!$A$75:$A$400,Areas!A490,Comp!$G$75:$G$400)</f>
        <v>174.6</v>
      </c>
      <c r="AH490" s="153"/>
      <c r="AI490" s="153"/>
      <c r="AK490" s="133"/>
    </row>
    <row r="491" spans="1:37" s="132" customFormat="1">
      <c r="A491" s="142">
        <v>4.1310000000000002</v>
      </c>
      <c r="B491" s="132" t="str">
        <f>Comp!B368</f>
        <v>ENERGY GENERATION</v>
      </c>
      <c r="C491" s="143">
        <f t="shared" ref="C491:C494" si="173">S491</f>
        <v>0</v>
      </c>
      <c r="D491" s="143">
        <f t="shared" ref="D491:D494" si="174">T491</f>
        <v>0</v>
      </c>
      <c r="E491" s="143">
        <f t="shared" ref="E491:F494" si="175">U491</f>
        <v>0</v>
      </c>
      <c r="F491" s="143">
        <f t="shared" si="175"/>
        <v>0</v>
      </c>
      <c r="G491" s="143"/>
      <c r="H491" s="143"/>
      <c r="I491" s="143"/>
      <c r="J491" s="143"/>
      <c r="K491" s="143"/>
      <c r="L491" s="143"/>
      <c r="M491" s="143"/>
      <c r="N491" s="143"/>
      <c r="O491" s="143"/>
      <c r="P491" s="143">
        <f t="shared" si="157"/>
        <v>0</v>
      </c>
      <c r="Q491" s="143">
        <f t="shared" si="157"/>
        <v>0</v>
      </c>
      <c r="S491" s="154">
        <f>SUMIF('Flt III'!D:D,A491,'Flt III'!E:E)/3.2808^2</f>
        <v>0</v>
      </c>
      <c r="T491" s="154">
        <f>SUMIF('Flt IIa'!A:A,A491,'Flt IIa'!E:E)/3.2808^2</f>
        <v>0</v>
      </c>
      <c r="U491" s="154">
        <f>SUMIF('OPC Des'!A:A,A491,'OPC Des'!F:F)/3.2808^2</f>
        <v>0</v>
      </c>
      <c r="V491" s="154">
        <f>SUMIF('LCS 5'!A:A,A491,'LCS 5'!E:E)</f>
        <v>0</v>
      </c>
      <c r="W491" s="154">
        <f>SUMIF('USCG Summary'!$A$25:$A$50,A491,'USCG Summary'!$D$25:$D$50)/3.2808^2</f>
        <v>0</v>
      </c>
      <c r="X491" s="153">
        <f>SUMIF('USCG Summary'!$A$25:$A$50,A491,'USCG Summary'!$I$25:$I$50)/3.2808^2</f>
        <v>0</v>
      </c>
      <c r="Y491" s="153">
        <f>SUMIF('USCG Summary'!$A$25:$A$50,A491,'USCG Summary'!$L$25:$L$50)/3.2808^2</f>
        <v>0</v>
      </c>
      <c r="Z491" s="153">
        <f>SUMIF('USCG Summary'!$A$25:$A$50,A491,'USCG Summary'!$O$25:$O$50)/3.2808^2</f>
        <v>0</v>
      </c>
      <c r="AA491" s="153">
        <f>SUMIF('USCG Summary'!$A$25:$A$50,A491,'USCG Summary'!$P$25:$P$50)/3.2808^2</f>
        <v>0</v>
      </c>
      <c r="AB491" s="153">
        <f>SUMIF('USCG Summary'!$A$25:$A$50,A491,'USCG Summary'!$Q$25:$Q$50)/3.2808^2</f>
        <v>0</v>
      </c>
      <c r="AC491" s="153">
        <f>SUMIF('USCG Summary'!$A$25:$A$50,A491,'USCG Summary'!$T$25:$T$50)/3.2808^2</f>
        <v>0</v>
      </c>
      <c r="AD491" s="153">
        <f>SUMIF('USCG Summary'!$A$25:$A$50,A491,'USCG Summary'!$W$25:$W$50)/3.2808^2</f>
        <v>0</v>
      </c>
      <c r="AE491" s="153">
        <f>SUMIF('USCG Summary'!$A$25:$A$50,A491,'USCG Summary'!$Z$25:$Z$50)/3.2808^2</f>
        <v>0</v>
      </c>
      <c r="AF491" s="154">
        <f>SUMIF(Comp!$A$75:$A$400,Areas!A491,Comp!$F$75:$F$400)</f>
        <v>0</v>
      </c>
      <c r="AG491" s="154">
        <f>SUMIF(Comp!$A$75:$A$400,Areas!A491,Comp!$G$75:$G$400)</f>
        <v>0</v>
      </c>
      <c r="AH491" s="154"/>
      <c r="AI491" s="154"/>
      <c r="AK491" s="143"/>
    </row>
    <row r="492" spans="1:37" s="132" customFormat="1">
      <c r="A492" s="142">
        <v>4.1319999999999997</v>
      </c>
      <c r="B492" s="132" t="str">
        <f>Comp!B369</f>
        <v>COMBUSTION AIR</v>
      </c>
      <c r="C492" s="143">
        <f t="shared" si="173"/>
        <v>0</v>
      </c>
      <c r="D492" s="143">
        <f t="shared" si="174"/>
        <v>0</v>
      </c>
      <c r="E492" s="143">
        <f t="shared" si="175"/>
        <v>0</v>
      </c>
      <c r="F492" s="143">
        <f t="shared" si="175"/>
        <v>0</v>
      </c>
      <c r="G492" s="143"/>
      <c r="H492" s="143"/>
      <c r="I492" s="143"/>
      <c r="J492" s="143"/>
      <c r="K492" s="143"/>
      <c r="L492" s="143"/>
      <c r="M492" s="143"/>
      <c r="N492" s="143"/>
      <c r="O492" s="143"/>
      <c r="P492" s="143">
        <f t="shared" si="157"/>
        <v>43.5</v>
      </c>
      <c r="Q492" s="143">
        <f t="shared" si="157"/>
        <v>43.5</v>
      </c>
      <c r="S492" s="154">
        <f>SUMIF('Flt III'!D:D,A492,'Flt III'!E:E)/3.2808^2</f>
        <v>0</v>
      </c>
      <c r="T492" s="154">
        <f>SUMIF('Flt IIa'!A:A,A492,'Flt IIa'!E:E)/3.2808^2</f>
        <v>0</v>
      </c>
      <c r="U492" s="154">
        <f>SUMIF('OPC Des'!A:A,A492,'OPC Des'!F:F)/3.2808^2</f>
        <v>0</v>
      </c>
      <c r="V492" s="154">
        <f>SUMIF('LCS 5'!A:A,A492,'LCS 5'!E:E)</f>
        <v>0</v>
      </c>
      <c r="W492" s="154">
        <f>SUMIF('USCG Summary'!$A$25:$A$50,A492,'USCG Summary'!$D$25:$D$50)/3.2808^2</f>
        <v>0</v>
      </c>
      <c r="X492" s="153">
        <f>SUMIF('USCG Summary'!$A$25:$A$50,A492,'USCG Summary'!$I$25:$I$50)/3.2808^2</f>
        <v>0</v>
      </c>
      <c r="Y492" s="153">
        <f>SUMIF('USCG Summary'!$A$25:$A$50,A492,'USCG Summary'!$L$25:$L$50)/3.2808^2</f>
        <v>0</v>
      </c>
      <c r="Z492" s="153">
        <f>SUMIF('USCG Summary'!$A$25:$A$50,A492,'USCG Summary'!$O$25:$O$50)/3.2808^2</f>
        <v>0</v>
      </c>
      <c r="AA492" s="153">
        <f>SUMIF('USCG Summary'!$A$25:$A$50,A492,'USCG Summary'!$P$25:$P$50)/3.2808^2</f>
        <v>0</v>
      </c>
      <c r="AB492" s="153">
        <f>SUMIF('USCG Summary'!$A$25:$A$50,A492,'USCG Summary'!$Q$25:$Q$50)/3.2808^2</f>
        <v>0</v>
      </c>
      <c r="AC492" s="153">
        <f>SUMIF('USCG Summary'!$A$25:$A$50,A492,'USCG Summary'!$T$25:$T$50)/3.2808^2</f>
        <v>0</v>
      </c>
      <c r="AD492" s="153">
        <f>SUMIF('USCG Summary'!$A$25:$A$50,A492,'USCG Summary'!$W$25:$W$50)/3.2808^2</f>
        <v>0</v>
      </c>
      <c r="AE492" s="153">
        <f>SUMIF('USCG Summary'!$A$25:$A$50,A492,'USCG Summary'!$Z$25:$Z$50)/3.2808^2</f>
        <v>0</v>
      </c>
      <c r="AF492" s="154">
        <f>SUMIF(Comp!$A$75:$A$400,Areas!A492,Comp!$F$75:$F$400)</f>
        <v>43.5</v>
      </c>
      <c r="AG492" s="154">
        <f>SUMIF(Comp!$A$75:$A$400,Areas!A492,Comp!$G$75:$G$400)</f>
        <v>43.5</v>
      </c>
      <c r="AH492" s="154"/>
      <c r="AI492" s="154"/>
      <c r="AK492" s="143"/>
    </row>
    <row r="493" spans="1:37" s="132" customFormat="1">
      <c r="A493" s="142">
        <v>4.133</v>
      </c>
      <c r="B493" s="132" t="str">
        <f>Comp!B370</f>
        <v>EXHAUST</v>
      </c>
      <c r="C493" s="143">
        <f t="shared" si="173"/>
        <v>0</v>
      </c>
      <c r="D493" s="143">
        <f t="shared" si="174"/>
        <v>0</v>
      </c>
      <c r="E493" s="143">
        <f t="shared" si="175"/>
        <v>0</v>
      </c>
      <c r="F493" s="143">
        <f t="shared" si="175"/>
        <v>0</v>
      </c>
      <c r="G493" s="143"/>
      <c r="H493" s="143"/>
      <c r="I493" s="143"/>
      <c r="J493" s="143"/>
      <c r="K493" s="143"/>
      <c r="L493" s="143"/>
      <c r="M493" s="143"/>
      <c r="N493" s="143"/>
      <c r="O493" s="143"/>
      <c r="P493" s="143">
        <f t="shared" si="157"/>
        <v>80.900000000000006</v>
      </c>
      <c r="Q493" s="143">
        <f t="shared" si="157"/>
        <v>80.900000000000006</v>
      </c>
      <c r="S493" s="154">
        <f>SUMIF('Flt III'!D:D,A493,'Flt III'!E:E)/3.2808^2</f>
        <v>0</v>
      </c>
      <c r="T493" s="154">
        <f>SUMIF('Flt IIa'!A:A,A493,'Flt IIa'!E:E)/3.2808^2</f>
        <v>0</v>
      </c>
      <c r="U493" s="154">
        <f>SUMIF('OPC Des'!A:A,A493,'OPC Des'!F:F)/3.2808^2</f>
        <v>0</v>
      </c>
      <c r="V493" s="154">
        <f>SUMIF('LCS 5'!A:A,A493,'LCS 5'!E:E)</f>
        <v>0</v>
      </c>
      <c r="W493" s="154">
        <f>SUMIF('USCG Summary'!$A$25:$A$50,A493,'USCG Summary'!$D$25:$D$50)/3.2808^2</f>
        <v>0</v>
      </c>
      <c r="X493" s="153">
        <f>SUMIF('USCG Summary'!$A$25:$A$50,A493,'USCG Summary'!$I$25:$I$50)/3.2808^2</f>
        <v>0</v>
      </c>
      <c r="Y493" s="153">
        <f>SUMIF('USCG Summary'!$A$25:$A$50,A493,'USCG Summary'!$L$25:$L$50)/3.2808^2</f>
        <v>0</v>
      </c>
      <c r="Z493" s="153">
        <f>SUMIF('USCG Summary'!$A$25:$A$50,A493,'USCG Summary'!$O$25:$O$50)/3.2808^2</f>
        <v>0</v>
      </c>
      <c r="AA493" s="153">
        <f>SUMIF('USCG Summary'!$A$25:$A$50,A493,'USCG Summary'!$P$25:$P$50)/3.2808^2</f>
        <v>0</v>
      </c>
      <c r="AB493" s="153">
        <f>SUMIF('USCG Summary'!$A$25:$A$50,A493,'USCG Summary'!$Q$25:$Q$50)/3.2808^2</f>
        <v>0</v>
      </c>
      <c r="AC493" s="153">
        <f>SUMIF('USCG Summary'!$A$25:$A$50,A493,'USCG Summary'!$T$25:$T$50)/3.2808^2</f>
        <v>0</v>
      </c>
      <c r="AD493" s="153">
        <f>SUMIF('USCG Summary'!$A$25:$A$50,A493,'USCG Summary'!$W$25:$W$50)/3.2808^2</f>
        <v>0</v>
      </c>
      <c r="AE493" s="153">
        <f>SUMIF('USCG Summary'!$A$25:$A$50,A493,'USCG Summary'!$Z$25:$Z$50)/3.2808^2</f>
        <v>0</v>
      </c>
      <c r="AF493" s="154">
        <f>SUMIF(Comp!$A$75:$A$400,Areas!A493,Comp!$F$75:$F$400)</f>
        <v>80.900000000000006</v>
      </c>
      <c r="AG493" s="154">
        <f>SUMIF(Comp!$A$75:$A$400,Areas!A493,Comp!$G$75:$G$400)</f>
        <v>80.900000000000006</v>
      </c>
      <c r="AH493" s="154"/>
      <c r="AI493" s="154"/>
      <c r="AK493" s="143"/>
    </row>
    <row r="494" spans="1:37" s="132" customFormat="1">
      <c r="A494" s="142">
        <v>4.1340000000000003</v>
      </c>
      <c r="B494" s="132" t="str">
        <f>Comp!B371</f>
        <v>CONTROL</v>
      </c>
      <c r="C494" s="143">
        <f t="shared" si="173"/>
        <v>0</v>
      </c>
      <c r="D494" s="143">
        <f t="shared" si="174"/>
        <v>0</v>
      </c>
      <c r="E494" s="143">
        <f t="shared" si="175"/>
        <v>0</v>
      </c>
      <c r="F494" s="143">
        <f t="shared" si="175"/>
        <v>0</v>
      </c>
      <c r="G494" s="143"/>
      <c r="H494" s="143"/>
      <c r="I494" s="143"/>
      <c r="J494" s="143"/>
      <c r="K494" s="143"/>
      <c r="L494" s="143"/>
      <c r="M494" s="143"/>
      <c r="N494" s="143"/>
      <c r="O494" s="143"/>
      <c r="P494" s="143">
        <f t="shared" si="157"/>
        <v>50.2</v>
      </c>
      <c r="Q494" s="143">
        <f t="shared" si="157"/>
        <v>50.2</v>
      </c>
      <c r="S494" s="154">
        <f>SUMIF('Flt III'!D:D,A494,'Flt III'!E:E)/3.2808^2</f>
        <v>0</v>
      </c>
      <c r="T494" s="154">
        <f>SUMIF('Flt IIa'!A:A,A494,'Flt IIa'!E:E)/3.2808^2</f>
        <v>0</v>
      </c>
      <c r="U494" s="154">
        <f>SUMIF('OPC Des'!A:A,A494,'OPC Des'!F:F)/3.2808^2</f>
        <v>0</v>
      </c>
      <c r="V494" s="154">
        <f>SUMIF('LCS 5'!A:A,A494,'LCS 5'!E:E)</f>
        <v>0</v>
      </c>
      <c r="W494" s="154">
        <f>SUMIF('USCG Summary'!$A$25:$A$50,A494,'USCG Summary'!$D$25:$D$50)/3.2808^2</f>
        <v>0</v>
      </c>
      <c r="X494" s="153">
        <f>SUMIF('USCG Summary'!$A$25:$A$50,A494,'USCG Summary'!$I$25:$I$50)/3.2808^2</f>
        <v>0</v>
      </c>
      <c r="Y494" s="153">
        <f>SUMIF('USCG Summary'!$A$25:$A$50,A494,'USCG Summary'!$L$25:$L$50)/3.2808^2</f>
        <v>0</v>
      </c>
      <c r="Z494" s="153">
        <f>SUMIF('USCG Summary'!$A$25:$A$50,A494,'USCG Summary'!$O$25:$O$50)/3.2808^2</f>
        <v>0</v>
      </c>
      <c r="AA494" s="153">
        <f>SUMIF('USCG Summary'!$A$25:$A$50,A494,'USCG Summary'!$P$25:$P$50)/3.2808^2</f>
        <v>0</v>
      </c>
      <c r="AB494" s="153">
        <f>SUMIF('USCG Summary'!$A$25:$A$50,A494,'USCG Summary'!$Q$25:$Q$50)/3.2808^2</f>
        <v>0</v>
      </c>
      <c r="AC494" s="153">
        <f>SUMIF('USCG Summary'!$A$25:$A$50,A494,'USCG Summary'!$T$25:$T$50)/3.2808^2</f>
        <v>0</v>
      </c>
      <c r="AD494" s="153">
        <f>SUMIF('USCG Summary'!$A$25:$A$50,A494,'USCG Summary'!$W$25:$W$50)/3.2808^2</f>
        <v>0</v>
      </c>
      <c r="AE494" s="153">
        <f>SUMIF('USCG Summary'!$A$25:$A$50,A494,'USCG Summary'!$Z$25:$Z$50)/3.2808^2</f>
        <v>0</v>
      </c>
      <c r="AF494" s="154">
        <f>SUMIF(Comp!$A$75:$A$400,Areas!A494,Comp!$F$75:$F$400)</f>
        <v>50.2</v>
      </c>
      <c r="AG494" s="154">
        <f>SUMIF(Comp!$A$75:$A$400,Areas!A494,Comp!$G$75:$G$400)</f>
        <v>50.2</v>
      </c>
      <c r="AH494" s="154"/>
      <c r="AI494" s="154"/>
      <c r="AK494" s="143"/>
    </row>
    <row r="495" spans="1:37" s="134" customFormat="1">
      <c r="A495" s="140">
        <v>4.1399999999999997</v>
      </c>
      <c r="B495" s="134" t="str">
        <f>Comp!B372</f>
        <v>GAS TURBINE</v>
      </c>
      <c r="C495" s="149">
        <f>SUM(C496,C498,C500,C501)</f>
        <v>502.15314349019843</v>
      </c>
      <c r="D495" s="149">
        <f t="shared" ref="D495:F495" si="176">SUM(D496,D498,D500,D501)</f>
        <v>613.45369222308614</v>
      </c>
      <c r="E495" s="149">
        <f t="shared" si="176"/>
        <v>0</v>
      </c>
      <c r="F495" s="149">
        <f t="shared" si="176"/>
        <v>107.75999999999999</v>
      </c>
      <c r="G495" s="149"/>
      <c r="H495" s="149"/>
      <c r="I495" s="149"/>
      <c r="J495" s="149"/>
      <c r="K495" s="149"/>
      <c r="L495" s="149"/>
      <c r="M495" s="149"/>
      <c r="N495" s="149"/>
      <c r="O495" s="149"/>
      <c r="P495" s="149">
        <f t="shared" si="157"/>
        <v>461.7</v>
      </c>
      <c r="Q495" s="149">
        <f t="shared" si="157"/>
        <v>461.7</v>
      </c>
      <c r="S495" s="153">
        <f>SUMIF('Flt III'!D:D,A495,'Flt III'!E:E)/3.2808^2</f>
        <v>0</v>
      </c>
      <c r="T495" s="153">
        <f>SUMIF('Flt IIa'!A:A,A495,'Flt IIa'!E:E)/3.2808^2</f>
        <v>0</v>
      </c>
      <c r="U495" s="153">
        <f>SUMIF('OPC Des'!A:A,A495,'OPC Des'!F:F)/3.2808^2</f>
        <v>0</v>
      </c>
      <c r="V495" s="153">
        <f>SUMIF('LCS 5'!A:A,A495,'LCS 5'!E:E)</f>
        <v>0</v>
      </c>
      <c r="W495" s="153">
        <f>SUMIF('USCG Summary'!$A$25:$A$50,A495,'USCG Summary'!$D$25:$D$50)/3.2808^2</f>
        <v>0</v>
      </c>
      <c r="X495" s="153">
        <f>SUMIF('USCG Summary'!$A$25:$A$50,A495,'USCG Summary'!$I$25:$I$50)/3.2808^2</f>
        <v>0</v>
      </c>
      <c r="Y495" s="153">
        <f>SUMIF('USCG Summary'!$A$25:$A$50,A495,'USCG Summary'!$L$25:$L$50)/3.2808^2</f>
        <v>0</v>
      </c>
      <c r="Z495" s="153">
        <f>SUMIF('USCG Summary'!$A$25:$A$50,A495,'USCG Summary'!$O$25:$O$50)/3.2808^2</f>
        <v>0</v>
      </c>
      <c r="AA495" s="153">
        <f>SUMIF('USCG Summary'!$A$25:$A$50,A495,'USCG Summary'!$P$25:$P$50)/3.2808^2</f>
        <v>0</v>
      </c>
      <c r="AB495" s="153">
        <f>SUMIF('USCG Summary'!$A$25:$A$50,A495,'USCG Summary'!$Q$25:$Q$50)/3.2808^2</f>
        <v>0</v>
      </c>
      <c r="AC495" s="153">
        <f>SUMIF('USCG Summary'!$A$25:$A$50,A495,'USCG Summary'!$T$25:$T$50)/3.2808^2</f>
        <v>0</v>
      </c>
      <c r="AD495" s="153">
        <f>SUMIF('USCG Summary'!$A$25:$A$50,A495,'USCG Summary'!$W$25:$W$50)/3.2808^2</f>
        <v>0</v>
      </c>
      <c r="AE495" s="153">
        <f>SUMIF('USCG Summary'!$A$25:$A$50,A495,'USCG Summary'!$Z$25:$Z$50)/3.2808^2</f>
        <v>0</v>
      </c>
      <c r="AF495" s="153">
        <f>SUMIF(Comp!$A$75:$A$400,Areas!A495,Comp!$F$75:$F$400)</f>
        <v>461.7</v>
      </c>
      <c r="AG495" s="153">
        <f>SUMIF(Comp!$A$75:$A$400,Areas!A495,Comp!$G$75:$G$400)</f>
        <v>461.7</v>
      </c>
      <c r="AH495" s="153"/>
      <c r="AI495" s="153"/>
      <c r="AK495" s="133"/>
    </row>
    <row r="496" spans="1:37" s="132" customFormat="1">
      <c r="A496" s="142">
        <v>4.141</v>
      </c>
      <c r="B496" s="132" t="str">
        <f>Comp!B373</f>
        <v>ENERGY GENERATION</v>
      </c>
      <c r="C496" s="143">
        <f>SUM(C497)</f>
        <v>0</v>
      </c>
      <c r="D496" s="143">
        <f t="shared" ref="D496:F496" si="177">SUM(D497)</f>
        <v>0</v>
      </c>
      <c r="E496" s="143">
        <f t="shared" si="177"/>
        <v>0</v>
      </c>
      <c r="F496" s="143">
        <f t="shared" si="177"/>
        <v>0</v>
      </c>
      <c r="G496" s="143"/>
      <c r="H496" s="143"/>
      <c r="I496" s="143"/>
      <c r="J496" s="143"/>
      <c r="K496" s="143"/>
      <c r="L496" s="143"/>
      <c r="M496" s="143"/>
      <c r="N496" s="143"/>
      <c r="O496" s="143"/>
      <c r="P496" s="143">
        <f t="shared" si="157"/>
        <v>0</v>
      </c>
      <c r="Q496" s="143">
        <f t="shared" si="157"/>
        <v>0</v>
      </c>
      <c r="S496" s="154">
        <f>SUMIF('Flt III'!D:D,A496,'Flt III'!E:E)/3.2808^2</f>
        <v>0</v>
      </c>
      <c r="T496" s="154">
        <f>SUMIF('Flt IIa'!A:A,A496,'Flt IIa'!E:E)/3.2808^2</f>
        <v>0</v>
      </c>
      <c r="U496" s="154">
        <f>SUMIF('OPC Des'!A:A,A496,'OPC Des'!F:F)/3.2808^2</f>
        <v>0</v>
      </c>
      <c r="V496" s="154">
        <f>SUMIF('LCS 5'!A:A,A496,'LCS 5'!E:E)</f>
        <v>0</v>
      </c>
      <c r="W496" s="154">
        <f>SUMIF('USCG Summary'!$A$25:$A$50,A496,'USCG Summary'!$D$25:$D$50)/3.2808^2</f>
        <v>0</v>
      </c>
      <c r="X496" s="153">
        <f>SUMIF('USCG Summary'!$A$25:$A$50,A496,'USCG Summary'!$I$25:$I$50)/3.2808^2</f>
        <v>0</v>
      </c>
      <c r="Y496" s="153">
        <f>SUMIF('USCG Summary'!$A$25:$A$50,A496,'USCG Summary'!$L$25:$L$50)/3.2808^2</f>
        <v>0</v>
      </c>
      <c r="Z496" s="153">
        <f>SUMIF('USCG Summary'!$A$25:$A$50,A496,'USCG Summary'!$O$25:$O$50)/3.2808^2</f>
        <v>0</v>
      </c>
      <c r="AA496" s="153">
        <f>SUMIF('USCG Summary'!$A$25:$A$50,A496,'USCG Summary'!$P$25:$P$50)/3.2808^2</f>
        <v>0</v>
      </c>
      <c r="AB496" s="153">
        <f>SUMIF('USCG Summary'!$A$25:$A$50,A496,'USCG Summary'!$Q$25:$Q$50)/3.2808^2</f>
        <v>0</v>
      </c>
      <c r="AC496" s="153">
        <f>SUMIF('USCG Summary'!$A$25:$A$50,A496,'USCG Summary'!$T$25:$T$50)/3.2808^2</f>
        <v>0</v>
      </c>
      <c r="AD496" s="153">
        <f>SUMIF('USCG Summary'!$A$25:$A$50,A496,'USCG Summary'!$W$25:$W$50)/3.2808^2</f>
        <v>0</v>
      </c>
      <c r="AE496" s="153">
        <f>SUMIF('USCG Summary'!$A$25:$A$50,A496,'USCG Summary'!$Z$25:$Z$50)/3.2808^2</f>
        <v>0</v>
      </c>
      <c r="AF496" s="154">
        <f>SUMIF(Comp!$A$75:$A$400,Areas!A496,Comp!$F$75:$F$400)</f>
        <v>0</v>
      </c>
      <c r="AG496" s="154">
        <f>SUMIF(Comp!$A$75:$A$400,Areas!A496,Comp!$G$75:$G$400)</f>
        <v>0</v>
      </c>
      <c r="AH496" s="154"/>
      <c r="AI496" s="154"/>
      <c r="AK496" s="143"/>
    </row>
    <row r="497" spans="1:37" s="148" customFormat="1">
      <c r="A497" s="146" t="s">
        <v>512</v>
      </c>
      <c r="C497" s="147">
        <f t="shared" ref="C497" si="178">S497</f>
        <v>0</v>
      </c>
      <c r="D497" s="147">
        <f t="shared" ref="D497" si="179">T497</f>
        <v>0</v>
      </c>
      <c r="E497" s="147">
        <f t="shared" ref="E497:F497" si="180">U497</f>
        <v>0</v>
      </c>
      <c r="F497" s="147">
        <f t="shared" si="180"/>
        <v>0</v>
      </c>
      <c r="G497" s="147"/>
      <c r="H497" s="147"/>
      <c r="I497" s="147"/>
      <c r="J497" s="147"/>
      <c r="K497" s="147"/>
      <c r="L497" s="147"/>
      <c r="M497" s="147"/>
      <c r="N497" s="147"/>
      <c r="O497" s="147"/>
      <c r="P497" s="147">
        <f t="shared" si="157"/>
        <v>0</v>
      </c>
      <c r="Q497" s="147">
        <f t="shared" si="157"/>
        <v>0</v>
      </c>
      <c r="S497" s="155">
        <f>SUMIF('Flt III'!D:D,A497,'Flt III'!E:E)/3.2808^2</f>
        <v>0</v>
      </c>
      <c r="T497" s="155">
        <f>SUMIF('Flt IIa'!A:A,A497,'Flt IIa'!E:E)/3.2808^2</f>
        <v>0</v>
      </c>
      <c r="U497" s="155">
        <f>SUMIF('OPC Des'!A:A,A497,'OPC Des'!F:F)/3.2808^2</f>
        <v>0</v>
      </c>
      <c r="V497" s="155">
        <f>SUMIF('LCS 5'!A:A,A497,'LCS 5'!E:E)</f>
        <v>0</v>
      </c>
      <c r="W497" s="155">
        <f>SUMIF('USCG Summary'!$A$25:$A$50,A497,'USCG Summary'!$D$25:$D$50)/3.2808^2</f>
        <v>0</v>
      </c>
      <c r="X497" s="153">
        <f>SUMIF('USCG Summary'!$A$25:$A$50,A497,'USCG Summary'!$I$25:$I$50)/3.2808^2</f>
        <v>0</v>
      </c>
      <c r="Y497" s="153">
        <f>SUMIF('USCG Summary'!$A$25:$A$50,A497,'USCG Summary'!$L$25:$L$50)/3.2808^2</f>
        <v>0</v>
      </c>
      <c r="Z497" s="153">
        <f>SUMIF('USCG Summary'!$A$25:$A$50,A497,'USCG Summary'!$O$25:$O$50)/3.2808^2</f>
        <v>0</v>
      </c>
      <c r="AA497" s="153">
        <f>SUMIF('USCG Summary'!$A$25:$A$50,A497,'USCG Summary'!$P$25:$P$50)/3.2808^2</f>
        <v>0</v>
      </c>
      <c r="AB497" s="153">
        <f>SUMIF('USCG Summary'!$A$25:$A$50,A497,'USCG Summary'!$Q$25:$Q$50)/3.2808^2</f>
        <v>0</v>
      </c>
      <c r="AC497" s="153">
        <f>SUMIF('USCG Summary'!$A$25:$A$50,A497,'USCG Summary'!$T$25:$T$50)/3.2808^2</f>
        <v>0</v>
      </c>
      <c r="AD497" s="153">
        <f>SUMIF('USCG Summary'!$A$25:$A$50,A497,'USCG Summary'!$W$25:$W$50)/3.2808^2</f>
        <v>0</v>
      </c>
      <c r="AE497" s="153">
        <f>SUMIF('USCG Summary'!$A$25:$A$50,A497,'USCG Summary'!$Z$25:$Z$50)/3.2808^2</f>
        <v>0</v>
      </c>
      <c r="AF497" s="155">
        <f>SUMIF(Comp!$A$75:$A$400,Areas!A497,Comp!$F$75:$F$400)</f>
        <v>0</v>
      </c>
      <c r="AG497" s="155">
        <f>SUMIF(Comp!$A$75:$A$400,Areas!A497,Comp!$G$75:$G$400)</f>
        <v>0</v>
      </c>
      <c r="AH497" s="155"/>
      <c r="AI497" s="155"/>
      <c r="AK497" s="147"/>
    </row>
    <row r="498" spans="1:37" s="132" customFormat="1">
      <c r="A498" s="142">
        <v>4.1420000000000003</v>
      </c>
      <c r="B498" s="132" t="str">
        <f>Comp!B374</f>
        <v>COMBUSTION AIR</v>
      </c>
      <c r="C498" s="143">
        <f>SUM(C499)</f>
        <v>450.31198640092356</v>
      </c>
      <c r="D498" s="143">
        <f>T498</f>
        <v>412.40662422812045</v>
      </c>
      <c r="E498" s="143">
        <f t="shared" ref="E498:F498" si="181">SUM(E499)</f>
        <v>0</v>
      </c>
      <c r="F498" s="143">
        <f t="shared" si="181"/>
        <v>107.75999999999999</v>
      </c>
      <c r="G498" s="143"/>
      <c r="H498" s="143"/>
      <c r="I498" s="143"/>
      <c r="J498" s="143"/>
      <c r="K498" s="143"/>
      <c r="L498" s="143"/>
      <c r="M498" s="143"/>
      <c r="N498" s="143"/>
      <c r="O498" s="143"/>
      <c r="P498" s="143">
        <f t="shared" si="157"/>
        <v>186.4</v>
      </c>
      <c r="Q498" s="143">
        <f t="shared" si="157"/>
        <v>186.4</v>
      </c>
      <c r="S498" s="154">
        <f>SUMIF('Flt III'!D:D,A498,'Flt III'!E:E)/3.2808^2</f>
        <v>0</v>
      </c>
      <c r="T498" s="154">
        <f>SUMIF('Flt IIa'!A:A,A498,'Flt IIa'!E:E)/3.2808^2</f>
        <v>412.40662422812045</v>
      </c>
      <c r="U498" s="154">
        <f>SUMIF('OPC Des'!A:A,A498,'OPC Des'!F:F)/3.2808^2</f>
        <v>0</v>
      </c>
      <c r="V498" s="154">
        <f>SUMIF('LCS 5'!A:A,A498,'LCS 5'!E:E)</f>
        <v>0</v>
      </c>
      <c r="W498" s="154">
        <f>SUMIF('USCG Summary'!$A$25:$A$50,A498,'USCG Summary'!$D$25:$D$50)/3.2808^2</f>
        <v>0</v>
      </c>
      <c r="X498" s="153">
        <f>SUMIF('USCG Summary'!$A$25:$A$50,A498,'USCG Summary'!$I$25:$I$50)/3.2808^2</f>
        <v>0</v>
      </c>
      <c r="Y498" s="153">
        <f>SUMIF('USCG Summary'!$A$25:$A$50,A498,'USCG Summary'!$L$25:$L$50)/3.2808^2</f>
        <v>0</v>
      </c>
      <c r="Z498" s="153">
        <f>SUMIF('USCG Summary'!$A$25:$A$50,A498,'USCG Summary'!$O$25:$O$50)/3.2808^2</f>
        <v>0</v>
      </c>
      <c r="AA498" s="153">
        <f>SUMIF('USCG Summary'!$A$25:$A$50,A498,'USCG Summary'!$P$25:$P$50)/3.2808^2</f>
        <v>0</v>
      </c>
      <c r="AB498" s="153">
        <f>SUMIF('USCG Summary'!$A$25:$A$50,A498,'USCG Summary'!$Q$25:$Q$50)/3.2808^2</f>
        <v>0</v>
      </c>
      <c r="AC498" s="153">
        <f>SUMIF('USCG Summary'!$A$25:$A$50,A498,'USCG Summary'!$T$25:$T$50)/3.2808^2</f>
        <v>0</v>
      </c>
      <c r="AD498" s="153">
        <f>SUMIF('USCG Summary'!$A$25:$A$50,A498,'USCG Summary'!$W$25:$W$50)/3.2808^2</f>
        <v>0</v>
      </c>
      <c r="AE498" s="153">
        <f>SUMIF('USCG Summary'!$A$25:$A$50,A498,'USCG Summary'!$Z$25:$Z$50)/3.2808^2</f>
        <v>0</v>
      </c>
      <c r="AF498" s="154">
        <f>SUMIF(Comp!$A$75:$A$400,Areas!A498,Comp!$F$75:$F$400)</f>
        <v>186.4</v>
      </c>
      <c r="AG498" s="154">
        <f>SUMIF(Comp!$A$75:$A$400,Areas!A498,Comp!$G$75:$G$400)</f>
        <v>186.4</v>
      </c>
      <c r="AH498" s="154"/>
      <c r="AI498" s="154"/>
      <c r="AK498" s="143"/>
    </row>
    <row r="499" spans="1:37" s="148" customFormat="1">
      <c r="A499" s="146" t="s">
        <v>489</v>
      </c>
      <c r="C499" s="147">
        <f t="shared" ref="C499:C500" si="182">S499</f>
        <v>450.31198640092356</v>
      </c>
      <c r="D499" s="147">
        <f t="shared" ref="D499:D500" si="183">T499</f>
        <v>0</v>
      </c>
      <c r="E499" s="147">
        <f t="shared" ref="E499:F500" si="184">U499</f>
        <v>0</v>
      </c>
      <c r="F499" s="147">
        <f t="shared" si="184"/>
        <v>107.75999999999999</v>
      </c>
      <c r="G499" s="147"/>
      <c r="H499" s="147"/>
      <c r="I499" s="147"/>
      <c r="J499" s="147"/>
      <c r="K499" s="147"/>
      <c r="L499" s="147"/>
      <c r="M499" s="147"/>
      <c r="N499" s="147"/>
      <c r="O499" s="147"/>
      <c r="P499" s="147">
        <f t="shared" si="157"/>
        <v>0</v>
      </c>
      <c r="Q499" s="147">
        <f t="shared" si="157"/>
        <v>0</v>
      </c>
      <c r="S499" s="155">
        <f>SUMIF('Flt III'!D:D,A499,'Flt III'!E:E)/3.2808^2</f>
        <v>450.31198640092356</v>
      </c>
      <c r="T499" s="155">
        <f>SUMIF('Flt IIa'!A:A,A499,'Flt IIa'!E:E)/3.2808^2</f>
        <v>0</v>
      </c>
      <c r="U499" s="155">
        <f>SUMIF('OPC Des'!A:A,A499,'OPC Des'!F:F)/3.2808^2</f>
        <v>0</v>
      </c>
      <c r="V499" s="155">
        <f>SUMIF('LCS 5'!A:A,A499,'LCS 5'!E:E)</f>
        <v>107.75999999999999</v>
      </c>
      <c r="W499" s="155">
        <f>SUMIF('USCG Summary'!$A$25:$A$50,A499,'USCG Summary'!$D$25:$D$50)/3.2808^2</f>
        <v>0</v>
      </c>
      <c r="X499" s="153">
        <f>SUMIF('USCG Summary'!$A$25:$A$50,A499,'USCG Summary'!$I$25:$I$50)/3.2808^2</f>
        <v>0</v>
      </c>
      <c r="Y499" s="153">
        <f>SUMIF('USCG Summary'!$A$25:$A$50,A499,'USCG Summary'!$L$25:$L$50)/3.2808^2</f>
        <v>0</v>
      </c>
      <c r="Z499" s="153">
        <f>SUMIF('USCG Summary'!$A$25:$A$50,A499,'USCG Summary'!$O$25:$O$50)/3.2808^2</f>
        <v>0</v>
      </c>
      <c r="AA499" s="153">
        <f>SUMIF('USCG Summary'!$A$25:$A$50,A499,'USCG Summary'!$P$25:$P$50)/3.2808^2</f>
        <v>0</v>
      </c>
      <c r="AB499" s="153">
        <f>SUMIF('USCG Summary'!$A$25:$A$50,A499,'USCG Summary'!$Q$25:$Q$50)/3.2808^2</f>
        <v>0</v>
      </c>
      <c r="AC499" s="153">
        <f>SUMIF('USCG Summary'!$A$25:$A$50,A499,'USCG Summary'!$T$25:$T$50)/3.2808^2</f>
        <v>0</v>
      </c>
      <c r="AD499" s="153">
        <f>SUMIF('USCG Summary'!$A$25:$A$50,A499,'USCG Summary'!$W$25:$W$50)/3.2808^2</f>
        <v>0</v>
      </c>
      <c r="AE499" s="153">
        <f>SUMIF('USCG Summary'!$A$25:$A$50,A499,'USCG Summary'!$Z$25:$Z$50)/3.2808^2</f>
        <v>0</v>
      </c>
      <c r="AF499" s="155">
        <f>SUMIF(Comp!$A$75:$A$400,Areas!A499,Comp!$F$75:$F$400)</f>
        <v>0</v>
      </c>
      <c r="AG499" s="155">
        <f>SUMIF(Comp!$A$75:$A$400,Areas!A499,Comp!$G$75:$G$400)</f>
        <v>0</v>
      </c>
      <c r="AH499" s="155"/>
      <c r="AI499" s="155"/>
      <c r="AK499" s="147"/>
    </row>
    <row r="500" spans="1:37" s="132" customFormat="1">
      <c r="A500" s="142">
        <v>4.1429999999999998</v>
      </c>
      <c r="B500" s="132" t="str">
        <f>Comp!B375</f>
        <v>EXHAUST</v>
      </c>
      <c r="C500" s="143">
        <f t="shared" si="182"/>
        <v>0</v>
      </c>
      <c r="D500" s="143">
        <f t="shared" si="183"/>
        <v>201.04706799496566</v>
      </c>
      <c r="E500" s="143">
        <f t="shared" si="184"/>
        <v>0</v>
      </c>
      <c r="F500" s="143">
        <f t="shared" si="184"/>
        <v>0</v>
      </c>
      <c r="G500" s="143"/>
      <c r="H500" s="143"/>
      <c r="I500" s="143"/>
      <c r="J500" s="143"/>
      <c r="K500" s="143"/>
      <c r="L500" s="143"/>
      <c r="M500" s="143"/>
      <c r="N500" s="143"/>
      <c r="O500" s="143"/>
      <c r="P500" s="143">
        <f t="shared" si="157"/>
        <v>146.1</v>
      </c>
      <c r="Q500" s="143">
        <f t="shared" si="157"/>
        <v>146.1</v>
      </c>
      <c r="S500" s="154">
        <f>SUMIF('Flt III'!D:D,A500,'Flt III'!E:E)/3.2808^2</f>
        <v>0</v>
      </c>
      <c r="T500" s="154">
        <f>SUMIF('Flt IIa'!A:A,A500,'Flt IIa'!E:E)/3.2808^2</f>
        <v>201.04706799496566</v>
      </c>
      <c r="U500" s="154">
        <f>SUMIF('OPC Des'!A:A,A500,'OPC Des'!F:F)/3.2808^2</f>
        <v>0</v>
      </c>
      <c r="V500" s="154">
        <f>SUMIF('LCS 5'!A:A,A500,'LCS 5'!E:E)</f>
        <v>0</v>
      </c>
      <c r="W500" s="154">
        <f>SUMIF('USCG Summary'!$A$25:$A$50,A500,'USCG Summary'!$D$25:$D$50)/3.2808^2</f>
        <v>0</v>
      </c>
      <c r="X500" s="153">
        <f>SUMIF('USCG Summary'!$A$25:$A$50,A500,'USCG Summary'!$I$25:$I$50)/3.2808^2</f>
        <v>0</v>
      </c>
      <c r="Y500" s="153">
        <f>SUMIF('USCG Summary'!$A$25:$A$50,A500,'USCG Summary'!$L$25:$L$50)/3.2808^2</f>
        <v>0</v>
      </c>
      <c r="Z500" s="153">
        <f>SUMIF('USCG Summary'!$A$25:$A$50,A500,'USCG Summary'!$O$25:$O$50)/3.2808^2</f>
        <v>0</v>
      </c>
      <c r="AA500" s="153">
        <f>SUMIF('USCG Summary'!$A$25:$A$50,A500,'USCG Summary'!$P$25:$P$50)/3.2808^2</f>
        <v>0</v>
      </c>
      <c r="AB500" s="153">
        <f>SUMIF('USCG Summary'!$A$25:$A$50,A500,'USCG Summary'!$Q$25:$Q$50)/3.2808^2</f>
        <v>0</v>
      </c>
      <c r="AC500" s="153">
        <f>SUMIF('USCG Summary'!$A$25:$A$50,A500,'USCG Summary'!$T$25:$T$50)/3.2808^2</f>
        <v>0</v>
      </c>
      <c r="AD500" s="153">
        <f>SUMIF('USCG Summary'!$A$25:$A$50,A500,'USCG Summary'!$W$25:$W$50)/3.2808^2</f>
        <v>0</v>
      </c>
      <c r="AE500" s="153">
        <f>SUMIF('USCG Summary'!$A$25:$A$50,A500,'USCG Summary'!$Z$25:$Z$50)/3.2808^2</f>
        <v>0</v>
      </c>
      <c r="AF500" s="154">
        <f>SUMIF(Comp!$A$75:$A$400,Areas!A500,Comp!$F$75:$F$400)</f>
        <v>146.1</v>
      </c>
      <c r="AG500" s="154">
        <f>SUMIF(Comp!$A$75:$A$400,Areas!A500,Comp!$G$75:$G$400)</f>
        <v>146.1</v>
      </c>
      <c r="AH500" s="154"/>
      <c r="AI500" s="154"/>
      <c r="AK500" s="143"/>
    </row>
    <row r="501" spans="1:37" s="132" customFormat="1">
      <c r="A501" s="142">
        <v>4.1440000000000001</v>
      </c>
      <c r="B501" s="132" t="str">
        <f>Comp!B376</f>
        <v>CONTROL</v>
      </c>
      <c r="C501" s="143">
        <f>SUM(C502)</f>
        <v>51.84115708927488</v>
      </c>
      <c r="D501" s="143">
        <f t="shared" ref="D501:F501" si="185">SUM(D502)</f>
        <v>0</v>
      </c>
      <c r="E501" s="143">
        <f t="shared" si="185"/>
        <v>0</v>
      </c>
      <c r="F501" s="143">
        <f t="shared" si="185"/>
        <v>0</v>
      </c>
      <c r="G501" s="143"/>
      <c r="H501" s="143"/>
      <c r="I501" s="143"/>
      <c r="J501" s="143"/>
      <c r="K501" s="143"/>
      <c r="L501" s="143"/>
      <c r="M501" s="143"/>
      <c r="N501" s="143"/>
      <c r="O501" s="143"/>
      <c r="P501" s="143">
        <f t="shared" si="157"/>
        <v>87.3</v>
      </c>
      <c r="Q501" s="143">
        <f t="shared" si="157"/>
        <v>87.3</v>
      </c>
      <c r="S501" s="154">
        <f>SUMIF('Flt III'!D:D,A501,'Flt III'!E:E)/3.2808^2</f>
        <v>0</v>
      </c>
      <c r="T501" s="154">
        <f>SUMIF('Flt IIa'!A:A,A501,'Flt IIa'!E:E)/3.2808^2</f>
        <v>0</v>
      </c>
      <c r="U501" s="154">
        <f>SUMIF('OPC Des'!A:A,A501,'OPC Des'!F:F)/3.2808^2</f>
        <v>0</v>
      </c>
      <c r="V501" s="154">
        <f>SUMIF('LCS 5'!A:A,A501,'LCS 5'!E:E)</f>
        <v>0</v>
      </c>
      <c r="W501" s="154">
        <f>SUMIF('USCG Summary'!$A$25:$A$50,A501,'USCG Summary'!$D$25:$D$50)/3.2808^2</f>
        <v>0</v>
      </c>
      <c r="X501" s="153">
        <f>SUMIF('USCG Summary'!$A$25:$A$50,A501,'USCG Summary'!$I$25:$I$50)/3.2808^2</f>
        <v>0</v>
      </c>
      <c r="Y501" s="153">
        <f>SUMIF('USCG Summary'!$A$25:$A$50,A501,'USCG Summary'!$L$25:$L$50)/3.2808^2</f>
        <v>0</v>
      </c>
      <c r="Z501" s="153">
        <f>SUMIF('USCG Summary'!$A$25:$A$50,A501,'USCG Summary'!$O$25:$O$50)/3.2808^2</f>
        <v>0</v>
      </c>
      <c r="AA501" s="153">
        <f>SUMIF('USCG Summary'!$A$25:$A$50,A501,'USCG Summary'!$P$25:$P$50)/3.2808^2</f>
        <v>0</v>
      </c>
      <c r="AB501" s="153">
        <f>SUMIF('USCG Summary'!$A$25:$A$50,A501,'USCG Summary'!$Q$25:$Q$50)/3.2808^2</f>
        <v>0</v>
      </c>
      <c r="AC501" s="153">
        <f>SUMIF('USCG Summary'!$A$25:$A$50,A501,'USCG Summary'!$T$25:$T$50)/3.2808^2</f>
        <v>0</v>
      </c>
      <c r="AD501" s="153">
        <f>SUMIF('USCG Summary'!$A$25:$A$50,A501,'USCG Summary'!$W$25:$W$50)/3.2808^2</f>
        <v>0</v>
      </c>
      <c r="AE501" s="153">
        <f>SUMIF('USCG Summary'!$A$25:$A$50,A501,'USCG Summary'!$Z$25:$Z$50)/3.2808^2</f>
        <v>0</v>
      </c>
      <c r="AF501" s="154">
        <f>SUMIF(Comp!$A$75:$A$400,Areas!A501,Comp!$F$75:$F$400)</f>
        <v>87.3</v>
      </c>
      <c r="AG501" s="154">
        <f>SUMIF(Comp!$A$75:$A$400,Areas!A501,Comp!$G$75:$G$400)</f>
        <v>87.3</v>
      </c>
      <c r="AH501" s="154"/>
      <c r="AI501" s="154"/>
      <c r="AK501" s="143"/>
    </row>
    <row r="502" spans="1:37" s="148" customFormat="1">
      <c r="A502" s="146" t="s">
        <v>480</v>
      </c>
      <c r="B502" s="146"/>
      <c r="C502" s="147">
        <f t="shared" ref="C502" si="186">S502</f>
        <v>51.84115708927488</v>
      </c>
      <c r="D502" s="147">
        <f t="shared" ref="D502" si="187">T502</f>
        <v>0</v>
      </c>
      <c r="E502" s="147">
        <f t="shared" ref="E502:F502" si="188">U502</f>
        <v>0</v>
      </c>
      <c r="F502" s="147">
        <f t="shared" si="188"/>
        <v>0</v>
      </c>
      <c r="G502" s="147"/>
      <c r="H502" s="147"/>
      <c r="I502" s="147"/>
      <c r="J502" s="147"/>
      <c r="K502" s="147"/>
      <c r="L502" s="147"/>
      <c r="M502" s="147"/>
      <c r="N502" s="147"/>
      <c r="O502" s="147"/>
      <c r="P502" s="147">
        <f t="shared" si="157"/>
        <v>0</v>
      </c>
      <c r="Q502" s="147">
        <f t="shared" si="157"/>
        <v>0</v>
      </c>
      <c r="S502" s="155">
        <f>SUMIF('Flt III'!D:D,A502,'Flt III'!E:E)/3.2808^2</f>
        <v>51.84115708927488</v>
      </c>
      <c r="T502" s="155">
        <f>SUMIF('Flt IIa'!A:A,A502,'Flt IIa'!E:E)/3.2808^2</f>
        <v>0</v>
      </c>
      <c r="U502" s="155">
        <f>SUMIF('OPC Des'!A:A,A502,'OPC Des'!F:F)/3.2808^2</f>
        <v>0</v>
      </c>
      <c r="V502" s="155">
        <f>SUMIF('LCS 5'!A:A,A502,'LCS 5'!E:E)</f>
        <v>0</v>
      </c>
      <c r="W502" s="155">
        <f>SUMIF('USCG Summary'!$A$25:$A$50,A502,'USCG Summary'!$D$25:$D$50)/3.2808^2</f>
        <v>0</v>
      </c>
      <c r="X502" s="153">
        <f>SUMIF('USCG Summary'!$A$25:$A$50,A502,'USCG Summary'!$I$25:$I$50)/3.2808^2</f>
        <v>0</v>
      </c>
      <c r="Y502" s="153">
        <f>SUMIF('USCG Summary'!$A$25:$A$50,A502,'USCG Summary'!$L$25:$L$50)/3.2808^2</f>
        <v>0</v>
      </c>
      <c r="Z502" s="153">
        <f>SUMIF('USCG Summary'!$A$25:$A$50,A502,'USCG Summary'!$O$25:$O$50)/3.2808^2</f>
        <v>0</v>
      </c>
      <c r="AA502" s="153">
        <f>SUMIF('USCG Summary'!$A$25:$A$50,A502,'USCG Summary'!$P$25:$P$50)/3.2808^2</f>
        <v>0</v>
      </c>
      <c r="AB502" s="153">
        <f>SUMIF('USCG Summary'!$A$25:$A$50,A502,'USCG Summary'!$Q$25:$Q$50)/3.2808^2</f>
        <v>0</v>
      </c>
      <c r="AC502" s="153">
        <f>SUMIF('USCG Summary'!$A$25:$A$50,A502,'USCG Summary'!$T$25:$T$50)/3.2808^2</f>
        <v>0</v>
      </c>
      <c r="AD502" s="153">
        <f>SUMIF('USCG Summary'!$A$25:$A$50,A502,'USCG Summary'!$W$25:$W$50)/3.2808^2</f>
        <v>0</v>
      </c>
      <c r="AE502" s="153">
        <f>SUMIF('USCG Summary'!$A$25:$A$50,A502,'USCG Summary'!$Z$25:$Z$50)/3.2808^2</f>
        <v>0</v>
      </c>
      <c r="AF502" s="155">
        <f>SUMIF(Comp!$A$75:$A$400,Areas!A502,Comp!$F$75:$F$400)</f>
        <v>0</v>
      </c>
      <c r="AG502" s="155">
        <f>SUMIF(Comp!$A$75:$A$400,Areas!A502,Comp!$G$75:$G$400)</f>
        <v>0</v>
      </c>
      <c r="AH502" s="155"/>
      <c r="AI502" s="155"/>
      <c r="AK502" s="147"/>
    </row>
    <row r="503" spans="1:37" s="134" customFormat="1">
      <c r="A503" s="140">
        <v>4.1500000000000004</v>
      </c>
      <c r="B503" s="140"/>
      <c r="C503" s="149">
        <f>C504+C506+C508</f>
        <v>161.74812633051536</v>
      </c>
      <c r="D503" s="149">
        <f t="shared" ref="D503:F503" si="189">D504+D506+D508</f>
        <v>0</v>
      </c>
      <c r="E503" s="149">
        <f t="shared" si="189"/>
        <v>0</v>
      </c>
      <c r="F503" s="149">
        <f t="shared" si="189"/>
        <v>0</v>
      </c>
      <c r="G503" s="149"/>
      <c r="H503" s="149"/>
      <c r="I503" s="149"/>
      <c r="J503" s="149"/>
      <c r="K503" s="149"/>
      <c r="L503" s="149"/>
      <c r="M503" s="149"/>
      <c r="N503" s="149"/>
      <c r="O503" s="149"/>
      <c r="P503" s="149">
        <f t="shared" si="157"/>
        <v>0</v>
      </c>
      <c r="Q503" s="149">
        <f t="shared" si="157"/>
        <v>0</v>
      </c>
      <c r="S503" s="153">
        <f>SUMIF('Flt III'!D:D,A503,'Flt III'!E:E)/3.2808^2</f>
        <v>0</v>
      </c>
      <c r="T503" s="153">
        <f>SUMIF('Flt IIa'!A:A,A503,'Flt IIa'!E:E)/3.2808^2</f>
        <v>0</v>
      </c>
      <c r="U503" s="153">
        <f>SUMIF('OPC Des'!A:A,A503,'OPC Des'!F:F)/3.2808^2</f>
        <v>0</v>
      </c>
      <c r="V503" s="153">
        <f>SUMIF('LCS 5'!A:A,A503,'LCS 5'!E:E)</f>
        <v>0</v>
      </c>
      <c r="W503" s="153">
        <f>SUMIF('USCG Summary'!$A$25:$A$50,A503,'USCG Summary'!$D$25:$D$50)/3.2808^2</f>
        <v>0</v>
      </c>
      <c r="X503" s="153">
        <f>SUMIF('USCG Summary'!$A$25:$A$50,A503,'USCG Summary'!$I$25:$I$50)/3.2808^2</f>
        <v>0</v>
      </c>
      <c r="Y503" s="153">
        <f>SUMIF('USCG Summary'!$A$25:$A$50,A503,'USCG Summary'!$L$25:$L$50)/3.2808^2</f>
        <v>0</v>
      </c>
      <c r="Z503" s="153">
        <f>SUMIF('USCG Summary'!$A$25:$A$50,A503,'USCG Summary'!$O$25:$O$50)/3.2808^2</f>
        <v>0</v>
      </c>
      <c r="AA503" s="153">
        <f>SUMIF('USCG Summary'!$A$25:$A$50,A503,'USCG Summary'!$P$25:$P$50)/3.2808^2</f>
        <v>0</v>
      </c>
      <c r="AB503" s="153">
        <f>SUMIF('USCG Summary'!$A$25:$A$50,A503,'USCG Summary'!$Q$25:$Q$50)/3.2808^2</f>
        <v>0</v>
      </c>
      <c r="AC503" s="153">
        <f>SUMIF('USCG Summary'!$A$25:$A$50,A503,'USCG Summary'!$T$25:$T$50)/3.2808^2</f>
        <v>0</v>
      </c>
      <c r="AD503" s="153">
        <f>SUMIF('USCG Summary'!$A$25:$A$50,A503,'USCG Summary'!$W$25:$W$50)/3.2808^2</f>
        <v>0</v>
      </c>
      <c r="AE503" s="153">
        <f>SUMIF('USCG Summary'!$A$25:$A$50,A503,'USCG Summary'!$Z$25:$Z$50)/3.2808^2</f>
        <v>0</v>
      </c>
      <c r="AF503" s="153">
        <f>SUMIF(Comp!$A$75:$A$400,Areas!A503,Comp!$F$75:$F$400)</f>
        <v>0</v>
      </c>
      <c r="AG503" s="153">
        <f>SUMIF(Comp!$A$75:$A$400,Areas!A503,Comp!$G$75:$G$400)</f>
        <v>0</v>
      </c>
      <c r="AH503" s="153"/>
      <c r="AI503" s="153"/>
      <c r="AK503" s="133"/>
    </row>
    <row r="504" spans="1:37" s="132" customFormat="1">
      <c r="A504" s="142">
        <v>4.1509999999999998</v>
      </c>
      <c r="B504" s="142"/>
      <c r="C504" s="143">
        <f>SUM(C505)</f>
        <v>83.614769498830455</v>
      </c>
      <c r="D504" s="143">
        <f t="shared" ref="D504:F504" si="190">SUM(D505)</f>
        <v>0</v>
      </c>
      <c r="E504" s="143">
        <f t="shared" si="190"/>
        <v>0</v>
      </c>
      <c r="F504" s="143">
        <f t="shared" si="190"/>
        <v>0</v>
      </c>
      <c r="G504" s="143"/>
      <c r="H504" s="143"/>
      <c r="I504" s="143"/>
      <c r="J504" s="143"/>
      <c r="K504" s="143"/>
      <c r="L504" s="143"/>
      <c r="M504" s="143"/>
      <c r="N504" s="143"/>
      <c r="O504" s="143"/>
      <c r="P504" s="143">
        <f t="shared" si="157"/>
        <v>0</v>
      </c>
      <c r="Q504" s="143">
        <f t="shared" si="157"/>
        <v>0</v>
      </c>
      <c r="S504" s="154">
        <f>SUMIF('Flt III'!D:D,A504,'Flt III'!E:E)/3.2808^2</f>
        <v>0</v>
      </c>
      <c r="T504" s="154">
        <f>SUMIF('Flt IIa'!A:A,A504,'Flt IIa'!E:E)/3.2808^2</f>
        <v>0</v>
      </c>
      <c r="U504" s="154">
        <f>SUMIF('OPC Des'!A:A,A504,'OPC Des'!F:F)/3.2808^2</f>
        <v>0</v>
      </c>
      <c r="V504" s="154">
        <f>SUMIF('LCS 5'!A:A,A504,'LCS 5'!E:E)</f>
        <v>0</v>
      </c>
      <c r="W504" s="154">
        <f>SUMIF('USCG Summary'!$A$25:$A$50,A504,'USCG Summary'!$D$25:$D$50)/3.2808^2</f>
        <v>0</v>
      </c>
      <c r="X504" s="153">
        <f>SUMIF('USCG Summary'!$A$25:$A$50,A504,'USCG Summary'!$I$25:$I$50)/3.2808^2</f>
        <v>0</v>
      </c>
      <c r="Y504" s="153">
        <f>SUMIF('USCG Summary'!$A$25:$A$50,A504,'USCG Summary'!$L$25:$L$50)/3.2808^2</f>
        <v>0</v>
      </c>
      <c r="Z504" s="153">
        <f>SUMIF('USCG Summary'!$A$25:$A$50,A504,'USCG Summary'!$O$25:$O$50)/3.2808^2</f>
        <v>0</v>
      </c>
      <c r="AA504" s="153">
        <f>SUMIF('USCG Summary'!$A$25:$A$50,A504,'USCG Summary'!$P$25:$P$50)/3.2808^2</f>
        <v>0</v>
      </c>
      <c r="AB504" s="153">
        <f>SUMIF('USCG Summary'!$A$25:$A$50,A504,'USCG Summary'!$Q$25:$Q$50)/3.2808^2</f>
        <v>0</v>
      </c>
      <c r="AC504" s="153">
        <f>SUMIF('USCG Summary'!$A$25:$A$50,A504,'USCG Summary'!$T$25:$T$50)/3.2808^2</f>
        <v>0</v>
      </c>
      <c r="AD504" s="153">
        <f>SUMIF('USCG Summary'!$A$25:$A$50,A504,'USCG Summary'!$W$25:$W$50)/3.2808^2</f>
        <v>0</v>
      </c>
      <c r="AE504" s="153">
        <f>SUMIF('USCG Summary'!$A$25:$A$50,A504,'USCG Summary'!$Z$25:$Z$50)/3.2808^2</f>
        <v>0</v>
      </c>
      <c r="AF504" s="154">
        <f>SUMIF(Comp!$A$75:$A$400,Areas!A504,Comp!$F$75:$F$400)</f>
        <v>0</v>
      </c>
      <c r="AG504" s="154">
        <f>SUMIF(Comp!$A$75:$A$400,Areas!A504,Comp!$G$75:$G$400)</f>
        <v>0</v>
      </c>
      <c r="AH504" s="154"/>
      <c r="AI504" s="154"/>
      <c r="AK504" s="143"/>
    </row>
    <row r="505" spans="1:37" s="148" customFormat="1">
      <c r="A505" s="146" t="s">
        <v>477</v>
      </c>
      <c r="B505" s="146"/>
      <c r="C505" s="147">
        <f t="shared" ref="C505" si="191">S505</f>
        <v>83.614769498830455</v>
      </c>
      <c r="D505" s="147">
        <f t="shared" ref="D505" si="192">T505</f>
        <v>0</v>
      </c>
      <c r="E505" s="147">
        <f t="shared" ref="E505:F505" si="193">U505</f>
        <v>0</v>
      </c>
      <c r="F505" s="147">
        <f t="shared" si="193"/>
        <v>0</v>
      </c>
      <c r="G505" s="147"/>
      <c r="H505" s="147"/>
      <c r="I505" s="147"/>
      <c r="J505" s="147"/>
      <c r="K505" s="147"/>
      <c r="L505" s="147"/>
      <c r="M505" s="147"/>
      <c r="N505" s="147"/>
      <c r="O505" s="147"/>
      <c r="P505" s="147">
        <f t="shared" si="157"/>
        <v>0</v>
      </c>
      <c r="Q505" s="147">
        <f t="shared" si="157"/>
        <v>0</v>
      </c>
      <c r="S505" s="155">
        <f>SUMIF('Flt III'!D:D,A505,'Flt III'!E:E)/3.2808^2</f>
        <v>83.614769498830455</v>
      </c>
      <c r="T505" s="155">
        <f>SUMIF('Flt IIa'!A:A,A505,'Flt IIa'!E:E)/3.2808^2</f>
        <v>0</v>
      </c>
      <c r="U505" s="155">
        <f>SUMIF('OPC Des'!A:A,A505,'OPC Des'!F:F)/3.2808^2</f>
        <v>0</v>
      </c>
      <c r="V505" s="155">
        <f>SUMIF('LCS 5'!A:A,A505,'LCS 5'!E:E)</f>
        <v>0</v>
      </c>
      <c r="W505" s="155">
        <f>SUMIF('USCG Summary'!$A$25:$A$50,A505,'USCG Summary'!$D$25:$D$50)/3.2808^2</f>
        <v>0</v>
      </c>
      <c r="X505" s="153">
        <f>SUMIF('USCG Summary'!$A$25:$A$50,A505,'USCG Summary'!$I$25:$I$50)/3.2808^2</f>
        <v>0</v>
      </c>
      <c r="Y505" s="153">
        <f>SUMIF('USCG Summary'!$A$25:$A$50,A505,'USCG Summary'!$L$25:$L$50)/3.2808^2</f>
        <v>0</v>
      </c>
      <c r="Z505" s="153">
        <f>SUMIF('USCG Summary'!$A$25:$A$50,A505,'USCG Summary'!$O$25:$O$50)/3.2808^2</f>
        <v>0</v>
      </c>
      <c r="AA505" s="153">
        <f>SUMIF('USCG Summary'!$A$25:$A$50,A505,'USCG Summary'!$P$25:$P$50)/3.2808^2</f>
        <v>0</v>
      </c>
      <c r="AB505" s="153">
        <f>SUMIF('USCG Summary'!$A$25:$A$50,A505,'USCG Summary'!$Q$25:$Q$50)/3.2808^2</f>
        <v>0</v>
      </c>
      <c r="AC505" s="153">
        <f>SUMIF('USCG Summary'!$A$25:$A$50,A505,'USCG Summary'!$T$25:$T$50)/3.2808^2</f>
        <v>0</v>
      </c>
      <c r="AD505" s="153">
        <f>SUMIF('USCG Summary'!$A$25:$A$50,A505,'USCG Summary'!$W$25:$W$50)/3.2808^2</f>
        <v>0</v>
      </c>
      <c r="AE505" s="153">
        <f>SUMIF('USCG Summary'!$A$25:$A$50,A505,'USCG Summary'!$Z$25:$Z$50)/3.2808^2</f>
        <v>0</v>
      </c>
      <c r="AF505" s="155">
        <f>SUMIF(Comp!$A$75:$A$400,Areas!A505,Comp!$F$75:$F$400)</f>
        <v>0</v>
      </c>
      <c r="AG505" s="155">
        <f>SUMIF(Comp!$A$75:$A$400,Areas!A505,Comp!$G$75:$G$400)</f>
        <v>0</v>
      </c>
      <c r="AH505" s="155"/>
      <c r="AI505" s="155"/>
      <c r="AK505" s="147"/>
    </row>
    <row r="506" spans="1:37" s="132" customFormat="1">
      <c r="A506" s="142">
        <v>4.1520000000000001</v>
      </c>
      <c r="B506" s="142"/>
      <c r="C506" s="143">
        <f>SUM(C507)</f>
        <v>78.133356831684907</v>
      </c>
      <c r="D506" s="143">
        <f t="shared" ref="D506:F506" si="194">SUM(D507)</f>
        <v>0</v>
      </c>
      <c r="E506" s="143">
        <f t="shared" si="194"/>
        <v>0</v>
      </c>
      <c r="F506" s="143">
        <f t="shared" si="194"/>
        <v>0</v>
      </c>
      <c r="G506" s="143"/>
      <c r="H506" s="143"/>
      <c r="I506" s="143"/>
      <c r="J506" s="143"/>
      <c r="K506" s="143"/>
      <c r="L506" s="143"/>
      <c r="M506" s="143"/>
      <c r="N506" s="143"/>
      <c r="O506" s="143"/>
      <c r="P506" s="143">
        <f t="shared" si="157"/>
        <v>0</v>
      </c>
      <c r="Q506" s="143">
        <f t="shared" si="157"/>
        <v>0</v>
      </c>
      <c r="S506" s="154">
        <f>SUMIF('Flt III'!D:D,A506,'Flt III'!E:E)/3.2808^2</f>
        <v>0</v>
      </c>
      <c r="T506" s="154">
        <f>SUMIF('Flt IIa'!A:A,A506,'Flt IIa'!E:E)/3.2808^2</f>
        <v>0</v>
      </c>
      <c r="U506" s="154">
        <f>SUMIF('OPC Des'!A:A,A506,'OPC Des'!F:F)/3.2808^2</f>
        <v>0</v>
      </c>
      <c r="V506" s="154">
        <f>SUMIF('LCS 5'!A:A,A506,'LCS 5'!E:E)</f>
        <v>0</v>
      </c>
      <c r="W506" s="154">
        <f>SUMIF('USCG Summary'!$A$25:$A$50,A506,'USCG Summary'!$D$25:$D$50)/3.2808^2</f>
        <v>0</v>
      </c>
      <c r="X506" s="153">
        <f>SUMIF('USCG Summary'!$A$25:$A$50,A506,'USCG Summary'!$I$25:$I$50)/3.2808^2</f>
        <v>0</v>
      </c>
      <c r="Y506" s="153">
        <f>SUMIF('USCG Summary'!$A$25:$A$50,A506,'USCG Summary'!$L$25:$L$50)/3.2808^2</f>
        <v>0</v>
      </c>
      <c r="Z506" s="153">
        <f>SUMIF('USCG Summary'!$A$25:$A$50,A506,'USCG Summary'!$O$25:$O$50)/3.2808^2</f>
        <v>0</v>
      </c>
      <c r="AA506" s="153">
        <f>SUMIF('USCG Summary'!$A$25:$A$50,A506,'USCG Summary'!$P$25:$P$50)/3.2808^2</f>
        <v>0</v>
      </c>
      <c r="AB506" s="153">
        <f>SUMIF('USCG Summary'!$A$25:$A$50,A506,'USCG Summary'!$Q$25:$Q$50)/3.2808^2</f>
        <v>0</v>
      </c>
      <c r="AC506" s="153">
        <f>SUMIF('USCG Summary'!$A$25:$A$50,A506,'USCG Summary'!$T$25:$T$50)/3.2808^2</f>
        <v>0</v>
      </c>
      <c r="AD506" s="153">
        <f>SUMIF('USCG Summary'!$A$25:$A$50,A506,'USCG Summary'!$W$25:$W$50)/3.2808^2</f>
        <v>0</v>
      </c>
      <c r="AE506" s="153">
        <f>SUMIF('USCG Summary'!$A$25:$A$50,A506,'USCG Summary'!$Z$25:$Z$50)/3.2808^2</f>
        <v>0</v>
      </c>
      <c r="AF506" s="154">
        <f>SUMIF(Comp!$A$75:$A$400,Areas!A506,Comp!$F$75:$F$400)</f>
        <v>0</v>
      </c>
      <c r="AG506" s="154">
        <f>SUMIF(Comp!$A$75:$A$400,Areas!A506,Comp!$G$75:$G$400)</f>
        <v>0</v>
      </c>
      <c r="AH506" s="154"/>
      <c r="AI506" s="154"/>
      <c r="AK506" s="143"/>
    </row>
    <row r="507" spans="1:37" s="148" customFormat="1">
      <c r="A507" s="146" t="s">
        <v>464</v>
      </c>
      <c r="B507" s="146"/>
      <c r="C507" s="147">
        <f t="shared" ref="C507:C508" si="195">S507</f>
        <v>78.133356831684907</v>
      </c>
      <c r="D507" s="147">
        <f t="shared" ref="D507:D509" si="196">T507</f>
        <v>0</v>
      </c>
      <c r="E507" s="147">
        <f t="shared" ref="E507:F509" si="197">U507</f>
        <v>0</v>
      </c>
      <c r="F507" s="147">
        <f t="shared" si="197"/>
        <v>0</v>
      </c>
      <c r="G507" s="147"/>
      <c r="H507" s="147"/>
      <c r="I507" s="147"/>
      <c r="J507" s="147"/>
      <c r="K507" s="147"/>
      <c r="L507" s="147"/>
      <c r="M507" s="147"/>
      <c r="N507" s="147"/>
      <c r="O507" s="147"/>
      <c r="P507" s="147">
        <f t="shared" si="157"/>
        <v>0</v>
      </c>
      <c r="Q507" s="147">
        <f t="shared" si="157"/>
        <v>0</v>
      </c>
      <c r="S507" s="155">
        <f>SUMIF('Flt III'!D:D,A507,'Flt III'!E:E)/3.2808^2</f>
        <v>78.133356831684907</v>
      </c>
      <c r="T507" s="155">
        <f>SUMIF('Flt IIa'!A:A,A507,'Flt IIa'!E:E)/3.2808^2</f>
        <v>0</v>
      </c>
      <c r="U507" s="155">
        <f>SUMIF('OPC Des'!A:A,A507,'OPC Des'!F:F)/3.2808^2</f>
        <v>0</v>
      </c>
      <c r="V507" s="155">
        <f>SUMIF('LCS 5'!A:A,A507,'LCS 5'!E:E)</f>
        <v>0</v>
      </c>
      <c r="W507" s="155">
        <f>SUMIF('USCG Summary'!$A$25:$A$50,A507,'USCG Summary'!$D$25:$D$50)/3.2808^2</f>
        <v>0</v>
      </c>
      <c r="X507" s="153">
        <f>SUMIF('USCG Summary'!$A$25:$A$50,A507,'USCG Summary'!$I$25:$I$50)/3.2808^2</f>
        <v>0</v>
      </c>
      <c r="Y507" s="153">
        <f>SUMIF('USCG Summary'!$A$25:$A$50,A507,'USCG Summary'!$L$25:$L$50)/3.2808^2</f>
        <v>0</v>
      </c>
      <c r="Z507" s="153">
        <f>SUMIF('USCG Summary'!$A$25:$A$50,A507,'USCG Summary'!$O$25:$O$50)/3.2808^2</f>
        <v>0</v>
      </c>
      <c r="AA507" s="153">
        <f>SUMIF('USCG Summary'!$A$25:$A$50,A507,'USCG Summary'!$P$25:$P$50)/3.2808^2</f>
        <v>0</v>
      </c>
      <c r="AB507" s="153">
        <f>SUMIF('USCG Summary'!$A$25:$A$50,A507,'USCG Summary'!$Q$25:$Q$50)/3.2808^2</f>
        <v>0</v>
      </c>
      <c r="AC507" s="153">
        <f>SUMIF('USCG Summary'!$A$25:$A$50,A507,'USCG Summary'!$T$25:$T$50)/3.2808^2</f>
        <v>0</v>
      </c>
      <c r="AD507" s="153">
        <f>SUMIF('USCG Summary'!$A$25:$A$50,A507,'USCG Summary'!$W$25:$W$50)/3.2808^2</f>
        <v>0</v>
      </c>
      <c r="AE507" s="153">
        <f>SUMIF('USCG Summary'!$A$25:$A$50,A507,'USCG Summary'!$Z$25:$Z$50)/3.2808^2</f>
        <v>0</v>
      </c>
      <c r="AF507" s="155">
        <f>SUMIF(Comp!$A$75:$A$400,Areas!A507,Comp!$F$75:$F$400)</f>
        <v>0</v>
      </c>
      <c r="AG507" s="155">
        <f>SUMIF(Comp!$A$75:$A$400,Areas!A507,Comp!$G$75:$G$400)</f>
        <v>0</v>
      </c>
      <c r="AH507" s="155"/>
      <c r="AI507" s="155"/>
      <c r="AK507" s="147"/>
    </row>
    <row r="508" spans="1:37" s="132" customFormat="1">
      <c r="A508" s="142">
        <v>4.1529999999999996</v>
      </c>
      <c r="B508" s="142"/>
      <c r="C508" s="143">
        <f t="shared" si="195"/>
        <v>0</v>
      </c>
      <c r="D508" s="143">
        <f t="shared" si="196"/>
        <v>0</v>
      </c>
      <c r="E508" s="143">
        <f t="shared" si="197"/>
        <v>0</v>
      </c>
      <c r="F508" s="143">
        <f t="shared" si="197"/>
        <v>0</v>
      </c>
      <c r="G508" s="143"/>
      <c r="H508" s="143"/>
      <c r="I508" s="143"/>
      <c r="J508" s="143"/>
      <c r="K508" s="143"/>
      <c r="L508" s="143"/>
      <c r="M508" s="143"/>
      <c r="N508" s="143"/>
      <c r="O508" s="143"/>
      <c r="P508" s="143">
        <f t="shared" si="157"/>
        <v>0</v>
      </c>
      <c r="Q508" s="143">
        <f t="shared" si="157"/>
        <v>0</v>
      </c>
      <c r="S508" s="154">
        <f>SUMIF('Flt III'!D:D,A508,'Flt III'!E:E)/3.2808^2</f>
        <v>0</v>
      </c>
      <c r="T508" s="154">
        <f>SUMIF('Flt IIa'!A:A,A508,'Flt IIa'!E:E)/3.2808^2</f>
        <v>0</v>
      </c>
      <c r="U508" s="154">
        <f>SUMIF('OPC Des'!A:A,A508,'OPC Des'!F:F)/3.2808^2</f>
        <v>0</v>
      </c>
      <c r="V508" s="154">
        <f>SUMIF('LCS 5'!A:A,A508,'LCS 5'!E:E)</f>
        <v>0</v>
      </c>
      <c r="W508" s="154">
        <f>SUMIF('USCG Summary'!$A$25:$A$50,A508,'USCG Summary'!$D$25:$D$50)/3.2808^2</f>
        <v>0</v>
      </c>
      <c r="X508" s="153">
        <f>SUMIF('USCG Summary'!$A$25:$A$50,A508,'USCG Summary'!$I$25:$I$50)/3.2808^2</f>
        <v>0</v>
      </c>
      <c r="Y508" s="153">
        <f>SUMIF('USCG Summary'!$A$25:$A$50,A508,'USCG Summary'!$L$25:$L$50)/3.2808^2</f>
        <v>0</v>
      </c>
      <c r="Z508" s="153">
        <f>SUMIF('USCG Summary'!$A$25:$A$50,A508,'USCG Summary'!$O$25:$O$50)/3.2808^2</f>
        <v>0</v>
      </c>
      <c r="AA508" s="153">
        <f>SUMIF('USCG Summary'!$A$25:$A$50,A508,'USCG Summary'!$P$25:$P$50)/3.2808^2</f>
        <v>0</v>
      </c>
      <c r="AB508" s="153">
        <f>SUMIF('USCG Summary'!$A$25:$A$50,A508,'USCG Summary'!$Q$25:$Q$50)/3.2808^2</f>
        <v>0</v>
      </c>
      <c r="AC508" s="153">
        <f>SUMIF('USCG Summary'!$A$25:$A$50,A508,'USCG Summary'!$T$25:$T$50)/3.2808^2</f>
        <v>0</v>
      </c>
      <c r="AD508" s="153">
        <f>SUMIF('USCG Summary'!$A$25:$A$50,A508,'USCG Summary'!$W$25:$W$50)/3.2808^2</f>
        <v>0</v>
      </c>
      <c r="AE508" s="153">
        <f>SUMIF('USCG Summary'!$A$25:$A$50,A508,'USCG Summary'!$Z$25:$Z$50)/3.2808^2</f>
        <v>0</v>
      </c>
      <c r="AF508" s="154">
        <f>SUMIF(Comp!$A$75:$A$400,Areas!A508,Comp!$F$75:$F$400)</f>
        <v>0</v>
      </c>
      <c r="AG508" s="154">
        <f>SUMIF(Comp!$A$75:$A$400,Areas!A508,Comp!$G$75:$G$400)</f>
        <v>0</v>
      </c>
      <c r="AH508" s="154"/>
      <c r="AI508" s="154"/>
      <c r="AK508" s="143"/>
    </row>
    <row r="509" spans="1:37" s="134" customFormat="1">
      <c r="A509" s="140">
        <v>4.17</v>
      </c>
      <c r="B509" s="134" t="str">
        <f>Comp!B377</f>
        <v>AUX PROPULSION SYSTEMS</v>
      </c>
      <c r="C509" s="149">
        <f>S509</f>
        <v>0</v>
      </c>
      <c r="D509" s="149">
        <f t="shared" si="196"/>
        <v>0</v>
      </c>
      <c r="E509" s="149">
        <f t="shared" si="197"/>
        <v>0</v>
      </c>
      <c r="F509" s="149">
        <f t="shared" si="197"/>
        <v>0</v>
      </c>
      <c r="G509" s="149"/>
      <c r="H509" s="149"/>
      <c r="I509" s="149"/>
      <c r="J509" s="149"/>
      <c r="K509" s="149"/>
      <c r="L509" s="149"/>
      <c r="M509" s="149"/>
      <c r="N509" s="149"/>
      <c r="O509" s="149"/>
      <c r="P509" s="149">
        <f t="shared" si="157"/>
        <v>0</v>
      </c>
      <c r="Q509" s="149">
        <f t="shared" si="157"/>
        <v>0</v>
      </c>
      <c r="S509" s="153">
        <f>SUMIF('Flt III'!D:D,A509,'Flt III'!E:E)/3.2808^2</f>
        <v>0</v>
      </c>
      <c r="T509" s="153">
        <f>SUMIF('Flt IIa'!A:A,A509,'Flt IIa'!E:E)/3.2808^2</f>
        <v>0</v>
      </c>
      <c r="U509" s="153">
        <f>SUMIF('OPC Des'!A:A,A509,'OPC Des'!F:F)/3.2808^2</f>
        <v>0</v>
      </c>
      <c r="V509" s="153">
        <f>SUMIF('LCS 5'!A:A,A509,'LCS 5'!E:E)</f>
        <v>0</v>
      </c>
      <c r="W509" s="153">
        <f>SUMIF('USCG Summary'!$A$25:$A$50,A509,'USCG Summary'!$D$25:$D$50)/3.2808^2</f>
        <v>0</v>
      </c>
      <c r="X509" s="153">
        <f>SUMIF('USCG Summary'!$A$25:$A$50,A509,'USCG Summary'!$I$25:$I$50)/3.2808^2</f>
        <v>0</v>
      </c>
      <c r="Y509" s="153">
        <f>SUMIF('USCG Summary'!$A$25:$A$50,A509,'USCG Summary'!$L$25:$L$50)/3.2808^2</f>
        <v>0</v>
      </c>
      <c r="Z509" s="153">
        <f>SUMIF('USCG Summary'!$A$25:$A$50,A509,'USCG Summary'!$O$25:$O$50)/3.2808^2</f>
        <v>0</v>
      </c>
      <c r="AA509" s="153">
        <f>SUMIF('USCG Summary'!$A$25:$A$50,A509,'USCG Summary'!$P$25:$P$50)/3.2808^2</f>
        <v>0</v>
      </c>
      <c r="AB509" s="153">
        <f>SUMIF('USCG Summary'!$A$25:$A$50,A509,'USCG Summary'!$Q$25:$Q$50)/3.2808^2</f>
        <v>0</v>
      </c>
      <c r="AC509" s="153">
        <f>SUMIF('USCG Summary'!$A$25:$A$50,A509,'USCG Summary'!$T$25:$T$50)/3.2808^2</f>
        <v>0</v>
      </c>
      <c r="AD509" s="153">
        <f>SUMIF('USCG Summary'!$A$25:$A$50,A509,'USCG Summary'!$W$25:$W$50)/3.2808^2</f>
        <v>0</v>
      </c>
      <c r="AE509" s="153">
        <f>SUMIF('USCG Summary'!$A$25:$A$50,A509,'USCG Summary'!$Z$25:$Z$50)/3.2808^2</f>
        <v>0</v>
      </c>
      <c r="AF509" s="153">
        <f>SUMIF(Comp!$A$75:$A$400,Areas!A509,Comp!$F$75:$F$400)</f>
        <v>0</v>
      </c>
      <c r="AG509" s="153">
        <f>SUMIF(Comp!$A$75:$A$400,Areas!A509,Comp!$G$75:$G$400)</f>
        <v>0</v>
      </c>
      <c r="AH509" s="153"/>
      <c r="AI509" s="153"/>
      <c r="AK509" s="133"/>
    </row>
    <row r="510" spans="1:37" s="139" customFormat="1">
      <c r="A510" s="137">
        <v>4.2</v>
      </c>
      <c r="B510" s="139" t="str">
        <f>Comp!B378</f>
        <v>PROPULSOR &amp; TRANSMISSION SYST</v>
      </c>
      <c r="C510" s="150">
        <f>C511+C514+C515+C516</f>
        <v>0</v>
      </c>
      <c r="D510" s="150">
        <f t="shared" ref="D510:F510" si="198">D511+D514+D515+D516</f>
        <v>0</v>
      </c>
      <c r="E510" s="150">
        <f t="shared" si="198"/>
        <v>0</v>
      </c>
      <c r="F510" s="150">
        <f t="shared" si="198"/>
        <v>168.47</v>
      </c>
      <c r="G510" s="150">
        <f>W510</f>
        <v>0</v>
      </c>
      <c r="H510" s="150">
        <f t="shared" ref="H510" si="199">X510</f>
        <v>0</v>
      </c>
      <c r="I510" s="150">
        <f t="shared" ref="I510" si="200">Y510</f>
        <v>0</v>
      </c>
      <c r="J510" s="150">
        <f t="shared" ref="J510" si="201">Z510</f>
        <v>0</v>
      </c>
      <c r="K510" s="150">
        <f t="shared" ref="K510" si="202">AA510</f>
        <v>0</v>
      </c>
      <c r="L510" s="150">
        <f t="shared" ref="L510" si="203">AB510</f>
        <v>0</v>
      </c>
      <c r="M510" s="150">
        <f t="shared" ref="M510" si="204">AC510</f>
        <v>0</v>
      </c>
      <c r="N510" s="150">
        <f t="shared" ref="N510" si="205">AD510</f>
        <v>0</v>
      </c>
      <c r="O510" s="150">
        <f t="shared" ref="O510" si="206">AE510</f>
        <v>0</v>
      </c>
      <c r="P510" s="138">
        <f t="shared" si="157"/>
        <v>0</v>
      </c>
      <c r="Q510" s="138">
        <f t="shared" si="157"/>
        <v>0</v>
      </c>
      <c r="S510" s="152">
        <f>SUMIF('Flt III'!D:D,A510,'Flt III'!E:E)/3.2808^2</f>
        <v>0</v>
      </c>
      <c r="T510" s="152">
        <f>SUMIF('Flt IIa'!A:A,A510,'Flt IIa'!E:E)/3.2808^2</f>
        <v>0</v>
      </c>
      <c r="U510" s="152">
        <f>SUMIF('OPC Des'!A:A,A510,'OPC Des'!F:F)/3.2808^2</f>
        <v>0</v>
      </c>
      <c r="V510" s="152">
        <f>SUMIF('LCS 5'!A:A,A510,'LCS 5'!E:E)</f>
        <v>0</v>
      </c>
      <c r="W510" s="152">
        <f>SUMIF('USCG Summary'!$A$25:$A$50,A510,'USCG Summary'!$D$25:$D$50)/3.2808^2</f>
        <v>0</v>
      </c>
      <c r="X510" s="153">
        <f>SUMIF('USCG Summary'!$A$25:$A$50,A510,'USCG Summary'!$I$25:$I$50)/3.2808^2</f>
        <v>0</v>
      </c>
      <c r="Y510" s="153">
        <f>SUMIF('USCG Summary'!$A$25:$A$50,A510,'USCG Summary'!$L$25:$L$50)/3.2808^2</f>
        <v>0</v>
      </c>
      <c r="Z510" s="153">
        <f>SUMIF('USCG Summary'!$A$25:$A$50,A510,'USCG Summary'!$O$25:$O$50)/3.2808^2</f>
        <v>0</v>
      </c>
      <c r="AA510" s="153">
        <f>SUMIF('USCG Summary'!$A$25:$A$50,A510,'USCG Summary'!$P$25:$P$50)/3.2808^2</f>
        <v>0</v>
      </c>
      <c r="AB510" s="153">
        <f>SUMIF('USCG Summary'!$A$25:$A$50,A510,'USCG Summary'!$Q$25:$Q$50)/3.2808^2</f>
        <v>0</v>
      </c>
      <c r="AC510" s="153">
        <f>SUMIF('USCG Summary'!$A$25:$A$50,A510,'USCG Summary'!$T$25:$T$50)/3.2808^2</f>
        <v>0</v>
      </c>
      <c r="AD510" s="153">
        <f>SUMIF('USCG Summary'!$A$25:$A$50,A510,'USCG Summary'!$W$25:$W$50)/3.2808^2</f>
        <v>0</v>
      </c>
      <c r="AE510" s="153">
        <f>SUMIF('USCG Summary'!$A$25:$A$50,A510,'USCG Summary'!$Z$25:$Z$50)/3.2808^2</f>
        <v>0</v>
      </c>
      <c r="AF510" s="152">
        <f>SUMIF(Comp!$A$75:$A$400,Areas!A510,Comp!$F$75:$F$400)</f>
        <v>0</v>
      </c>
      <c r="AG510" s="152">
        <f>SUMIF(Comp!$A$75:$A$400,Areas!A510,Comp!$G$75:$G$400)</f>
        <v>0</v>
      </c>
      <c r="AH510" s="152"/>
      <c r="AI510" s="152"/>
      <c r="AK510" s="138"/>
    </row>
    <row r="511" spans="1:37" s="134" customFormat="1">
      <c r="A511" s="140">
        <v>4.21</v>
      </c>
      <c r="B511" s="134" t="str">
        <f>Comp!B379</f>
        <v>SCREW PROPELLER</v>
      </c>
      <c r="C511" s="149">
        <f>S511</f>
        <v>0</v>
      </c>
      <c r="D511" s="149">
        <f t="shared" ref="D511:F516" si="207">T511</f>
        <v>0</v>
      </c>
      <c r="E511" s="149">
        <f t="shared" si="207"/>
        <v>0</v>
      </c>
      <c r="F511" s="149">
        <f>SUM(F512:F513)</f>
        <v>147.28</v>
      </c>
      <c r="G511" s="149"/>
      <c r="H511" s="149"/>
      <c r="I511" s="149"/>
      <c r="J511" s="149"/>
      <c r="K511" s="149"/>
      <c r="L511" s="149"/>
      <c r="M511" s="149"/>
      <c r="N511" s="149"/>
      <c r="O511" s="149"/>
      <c r="P511" s="149">
        <f t="shared" si="157"/>
        <v>0</v>
      </c>
      <c r="Q511" s="149">
        <f t="shared" si="157"/>
        <v>0</v>
      </c>
      <c r="S511" s="153">
        <f>SUMIF('Flt III'!D:D,A511,'Flt III'!E:E)/3.2808^2</f>
        <v>0</v>
      </c>
      <c r="T511" s="153">
        <f>SUMIF('Flt IIa'!A:A,A511,'Flt IIa'!E:E)/3.2808^2</f>
        <v>0</v>
      </c>
      <c r="U511" s="153">
        <f>SUMIF('OPC Des'!A:A,A511,'OPC Des'!F:F)/3.2808^2</f>
        <v>0</v>
      </c>
      <c r="V511" s="153">
        <f>SUMIF('LCS 5'!A:A,A511,'LCS 5'!E:E)</f>
        <v>0</v>
      </c>
      <c r="W511" s="153">
        <f>SUMIF('USCG Summary'!$A$25:$A$50,A511,'USCG Summary'!$D$25:$D$50)/3.2808^2</f>
        <v>0</v>
      </c>
      <c r="X511" s="153">
        <f>SUMIF('USCG Summary'!$A$25:$A$50,A511,'USCG Summary'!$I$25:$I$50)/3.2808^2</f>
        <v>0</v>
      </c>
      <c r="Y511" s="153">
        <f>SUMIF('USCG Summary'!$A$25:$A$50,A511,'USCG Summary'!$L$25:$L$50)/3.2808^2</f>
        <v>0</v>
      </c>
      <c r="Z511" s="153">
        <f>SUMIF('USCG Summary'!$A$25:$A$50,A511,'USCG Summary'!$O$25:$O$50)/3.2808^2</f>
        <v>0</v>
      </c>
      <c r="AA511" s="153">
        <f>SUMIF('USCG Summary'!$A$25:$A$50,A511,'USCG Summary'!$P$25:$P$50)/3.2808^2</f>
        <v>0</v>
      </c>
      <c r="AB511" s="153">
        <f>SUMIF('USCG Summary'!$A$25:$A$50,A511,'USCG Summary'!$Q$25:$Q$50)/3.2808^2</f>
        <v>0</v>
      </c>
      <c r="AC511" s="153">
        <f>SUMIF('USCG Summary'!$A$25:$A$50,A511,'USCG Summary'!$T$25:$T$50)/3.2808^2</f>
        <v>0</v>
      </c>
      <c r="AD511" s="153">
        <f>SUMIF('USCG Summary'!$A$25:$A$50,A511,'USCG Summary'!$W$25:$W$50)/3.2808^2</f>
        <v>0</v>
      </c>
      <c r="AE511" s="153">
        <f>SUMIF('USCG Summary'!$A$25:$A$50,A511,'USCG Summary'!$Z$25:$Z$50)/3.2808^2</f>
        <v>0</v>
      </c>
      <c r="AF511" s="153">
        <f>SUMIF(Comp!$A$75:$A$400,Areas!A511,Comp!$F$75:$F$400)</f>
        <v>0</v>
      </c>
      <c r="AG511" s="153">
        <f>SUMIF(Comp!$A$75:$A$400,Areas!A511,Comp!$G$75:$G$400)</f>
        <v>0</v>
      </c>
      <c r="AH511" s="153"/>
      <c r="AI511" s="153"/>
      <c r="AK511" s="133"/>
    </row>
    <row r="512" spans="1:37" s="148" customFormat="1">
      <c r="A512" s="146">
        <v>4.2100099999999996</v>
      </c>
      <c r="B512" s="148" t="str">
        <f>Comp!B380</f>
        <v>PROP SHAFT ALLEY</v>
      </c>
      <c r="C512" s="147">
        <f t="shared" ref="C512:C513" si="208">S512</f>
        <v>0</v>
      </c>
      <c r="D512" s="147">
        <f t="shared" si="207"/>
        <v>0</v>
      </c>
      <c r="E512" s="147">
        <f t="shared" si="207"/>
        <v>0</v>
      </c>
      <c r="F512" s="147">
        <f t="shared" si="207"/>
        <v>147.28</v>
      </c>
      <c r="G512" s="147"/>
      <c r="H512" s="147"/>
      <c r="I512" s="147"/>
      <c r="J512" s="147"/>
      <c r="K512" s="147"/>
      <c r="L512" s="147"/>
      <c r="M512" s="147"/>
      <c r="N512" s="147"/>
      <c r="O512" s="147"/>
      <c r="P512" s="147">
        <f t="shared" si="157"/>
        <v>0</v>
      </c>
      <c r="Q512" s="147">
        <f t="shared" si="157"/>
        <v>0</v>
      </c>
      <c r="S512" s="155">
        <f>SUMIF('Flt III'!D:D,A512,'Flt III'!E:E)/3.2808^2</f>
        <v>0</v>
      </c>
      <c r="T512" s="155">
        <f>SUMIF('Flt IIa'!A:A,A512,'Flt IIa'!E:E)/3.2808^2</f>
        <v>0</v>
      </c>
      <c r="U512" s="155">
        <f>SUMIF('OPC Des'!A:A,A512,'OPC Des'!F:F)/3.2808^2</f>
        <v>0</v>
      </c>
      <c r="V512" s="155">
        <f>SUMIF('LCS 5'!A:A,A512,'LCS 5'!E:E)</f>
        <v>147.28</v>
      </c>
      <c r="W512" s="155">
        <f>SUMIF('USCG Summary'!$A$25:$A$50,A512,'USCG Summary'!$D$25:$D$50)/3.2808^2</f>
        <v>0</v>
      </c>
      <c r="X512" s="153">
        <f>SUMIF('USCG Summary'!$A$25:$A$50,A512,'USCG Summary'!$I$25:$I$50)/3.2808^2</f>
        <v>0</v>
      </c>
      <c r="Y512" s="153">
        <f>SUMIF('USCG Summary'!$A$25:$A$50,A512,'USCG Summary'!$L$25:$L$50)/3.2808^2</f>
        <v>0</v>
      </c>
      <c r="Z512" s="153">
        <f>SUMIF('USCG Summary'!$A$25:$A$50,A512,'USCG Summary'!$O$25:$O$50)/3.2808^2</f>
        <v>0</v>
      </c>
      <c r="AA512" s="153">
        <f>SUMIF('USCG Summary'!$A$25:$A$50,A512,'USCG Summary'!$P$25:$P$50)/3.2808^2</f>
        <v>0</v>
      </c>
      <c r="AB512" s="153">
        <f>SUMIF('USCG Summary'!$A$25:$A$50,A512,'USCG Summary'!$Q$25:$Q$50)/3.2808^2</f>
        <v>0</v>
      </c>
      <c r="AC512" s="153">
        <f>SUMIF('USCG Summary'!$A$25:$A$50,A512,'USCG Summary'!$T$25:$T$50)/3.2808^2</f>
        <v>0</v>
      </c>
      <c r="AD512" s="153">
        <f>SUMIF('USCG Summary'!$A$25:$A$50,A512,'USCG Summary'!$W$25:$W$50)/3.2808^2</f>
        <v>0</v>
      </c>
      <c r="AE512" s="153">
        <f>SUMIF('USCG Summary'!$A$25:$A$50,A512,'USCG Summary'!$Z$25:$Z$50)/3.2808^2</f>
        <v>0</v>
      </c>
      <c r="AF512" s="155">
        <f>SUMIF(Comp!$A$75:$A$400,Areas!A512,Comp!$F$75:$F$400)</f>
        <v>0</v>
      </c>
      <c r="AG512" s="155">
        <f>SUMIF(Comp!$A$75:$A$400,Areas!A512,Comp!$G$75:$G$400)</f>
        <v>0</v>
      </c>
      <c r="AH512" s="155"/>
      <c r="AI512" s="155"/>
      <c r="AK512" s="147"/>
    </row>
    <row r="513" spans="1:37" s="148" customFormat="1">
      <c r="A513" s="146" t="s">
        <v>455</v>
      </c>
      <c r="B513" s="146"/>
      <c r="C513" s="147">
        <f t="shared" si="208"/>
        <v>0</v>
      </c>
      <c r="D513" s="147">
        <f t="shared" si="207"/>
        <v>0</v>
      </c>
      <c r="E513" s="147">
        <f t="shared" si="207"/>
        <v>0</v>
      </c>
      <c r="F513" s="147">
        <f t="shared" si="207"/>
        <v>0</v>
      </c>
      <c r="G513" s="147"/>
      <c r="H513" s="147"/>
      <c r="I513" s="147"/>
      <c r="J513" s="147"/>
      <c r="K513" s="147"/>
      <c r="L513" s="147"/>
      <c r="M513" s="147"/>
      <c r="N513" s="147"/>
      <c r="O513" s="147"/>
      <c r="P513" s="147">
        <f t="shared" si="157"/>
        <v>0</v>
      </c>
      <c r="Q513" s="147">
        <f t="shared" si="157"/>
        <v>0</v>
      </c>
      <c r="S513" s="155">
        <f>SUMIF('Flt III'!D:D,A513,'Flt III'!E:E)/3.2808^2</f>
        <v>0</v>
      </c>
      <c r="T513" s="155">
        <f>SUMIF('Flt IIa'!A:A,A513,'Flt IIa'!E:E)/3.2808^2</f>
        <v>0</v>
      </c>
      <c r="U513" s="155">
        <f>SUMIF('OPC Des'!A:A,A513,'OPC Des'!F:F)/3.2808^2</f>
        <v>0</v>
      </c>
      <c r="V513" s="155">
        <f>SUMIF('LCS 5'!A:A,A513,'LCS 5'!E:E)</f>
        <v>0</v>
      </c>
      <c r="W513" s="155">
        <f>SUMIF('USCG Summary'!$A$25:$A$50,A513,'USCG Summary'!$D$25:$D$50)/3.2808^2</f>
        <v>0</v>
      </c>
      <c r="X513" s="153">
        <f>SUMIF('USCG Summary'!$A$25:$A$50,A513,'USCG Summary'!$I$25:$I$50)/3.2808^2</f>
        <v>0</v>
      </c>
      <c r="Y513" s="153">
        <f>SUMIF('USCG Summary'!$A$25:$A$50,A513,'USCG Summary'!$L$25:$L$50)/3.2808^2</f>
        <v>0</v>
      </c>
      <c r="Z513" s="153">
        <f>SUMIF('USCG Summary'!$A$25:$A$50,A513,'USCG Summary'!$O$25:$O$50)/3.2808^2</f>
        <v>0</v>
      </c>
      <c r="AA513" s="153">
        <f>SUMIF('USCG Summary'!$A$25:$A$50,A513,'USCG Summary'!$P$25:$P$50)/3.2808^2</f>
        <v>0</v>
      </c>
      <c r="AB513" s="153">
        <f>SUMIF('USCG Summary'!$A$25:$A$50,A513,'USCG Summary'!$Q$25:$Q$50)/3.2808^2</f>
        <v>0</v>
      </c>
      <c r="AC513" s="153">
        <f>SUMIF('USCG Summary'!$A$25:$A$50,A513,'USCG Summary'!$T$25:$T$50)/3.2808^2</f>
        <v>0</v>
      </c>
      <c r="AD513" s="153">
        <f>SUMIF('USCG Summary'!$A$25:$A$50,A513,'USCG Summary'!$W$25:$W$50)/3.2808^2</f>
        <v>0</v>
      </c>
      <c r="AE513" s="153">
        <f>SUMIF('USCG Summary'!$A$25:$A$50,A513,'USCG Summary'!$Z$25:$Z$50)/3.2808^2</f>
        <v>0</v>
      </c>
      <c r="AF513" s="155">
        <f>SUMIF(Comp!$A$75:$A$400,Areas!A513,Comp!$F$75:$F$400)</f>
        <v>0</v>
      </c>
      <c r="AG513" s="155">
        <f>SUMIF(Comp!$A$75:$A$400,Areas!A513,Comp!$G$75:$G$400)</f>
        <v>0</v>
      </c>
      <c r="AH513" s="155"/>
      <c r="AI513" s="155"/>
      <c r="AK513" s="147"/>
    </row>
    <row r="514" spans="1:37" s="134" customFormat="1">
      <c r="A514" s="140">
        <v>4.22</v>
      </c>
      <c r="B514" s="134" t="str">
        <f>Comp!B381</f>
        <v>CYCLOIDAL PROPELLER ROOMS</v>
      </c>
      <c r="C514" s="149">
        <f>S514</f>
        <v>0</v>
      </c>
      <c r="D514" s="149">
        <f t="shared" si="207"/>
        <v>0</v>
      </c>
      <c r="E514" s="149">
        <f t="shared" si="207"/>
        <v>0</v>
      </c>
      <c r="F514" s="149">
        <f t="shared" si="207"/>
        <v>0</v>
      </c>
      <c r="G514" s="149"/>
      <c r="H514" s="149"/>
      <c r="I514" s="149"/>
      <c r="J514" s="149"/>
      <c r="K514" s="149"/>
      <c r="L514" s="149"/>
      <c r="M514" s="149"/>
      <c r="N514" s="149"/>
      <c r="O514" s="149"/>
      <c r="P514" s="149">
        <f t="shared" si="157"/>
        <v>0</v>
      </c>
      <c r="Q514" s="149">
        <f t="shared" si="157"/>
        <v>0</v>
      </c>
      <c r="S514" s="153">
        <f>SUMIF('Flt III'!D:D,A514,'Flt III'!E:E)/3.2808^2</f>
        <v>0</v>
      </c>
      <c r="T514" s="153">
        <f>SUMIF('Flt IIa'!A:A,A514,'Flt IIa'!E:E)/3.2808^2</f>
        <v>0</v>
      </c>
      <c r="U514" s="153">
        <f>SUMIF('OPC Des'!A:A,A514,'OPC Des'!F:F)/3.2808^2</f>
        <v>0</v>
      </c>
      <c r="V514" s="153">
        <f>SUMIF('LCS 5'!A:A,A514,'LCS 5'!E:E)</f>
        <v>0</v>
      </c>
      <c r="W514" s="153">
        <f>SUMIF('USCG Summary'!$A$25:$A$50,A514,'USCG Summary'!$D$25:$D$50)/3.2808^2</f>
        <v>0</v>
      </c>
      <c r="X514" s="153">
        <f>SUMIF('USCG Summary'!$A$25:$A$50,A514,'USCG Summary'!$I$25:$I$50)/3.2808^2</f>
        <v>0</v>
      </c>
      <c r="Y514" s="153">
        <f>SUMIF('USCG Summary'!$A$25:$A$50,A514,'USCG Summary'!$L$25:$L$50)/3.2808^2</f>
        <v>0</v>
      </c>
      <c r="Z514" s="153">
        <f>SUMIF('USCG Summary'!$A$25:$A$50,A514,'USCG Summary'!$O$25:$O$50)/3.2808^2</f>
        <v>0</v>
      </c>
      <c r="AA514" s="153">
        <f>SUMIF('USCG Summary'!$A$25:$A$50,A514,'USCG Summary'!$P$25:$P$50)/3.2808^2</f>
        <v>0</v>
      </c>
      <c r="AB514" s="153">
        <f>SUMIF('USCG Summary'!$A$25:$A$50,A514,'USCG Summary'!$Q$25:$Q$50)/3.2808^2</f>
        <v>0</v>
      </c>
      <c r="AC514" s="153">
        <f>SUMIF('USCG Summary'!$A$25:$A$50,A514,'USCG Summary'!$T$25:$T$50)/3.2808^2</f>
        <v>0</v>
      </c>
      <c r="AD514" s="153">
        <f>SUMIF('USCG Summary'!$A$25:$A$50,A514,'USCG Summary'!$W$25:$W$50)/3.2808^2</f>
        <v>0</v>
      </c>
      <c r="AE514" s="153">
        <f>SUMIF('USCG Summary'!$A$25:$A$50,A514,'USCG Summary'!$Z$25:$Z$50)/3.2808^2</f>
        <v>0</v>
      </c>
      <c r="AF514" s="153">
        <f>SUMIF(Comp!$A$75:$A$400,Areas!A514,Comp!$F$75:$F$400)</f>
        <v>0</v>
      </c>
      <c r="AG514" s="153">
        <f>SUMIF(Comp!$A$75:$A$400,Areas!A514,Comp!$G$75:$G$400)</f>
        <v>0</v>
      </c>
      <c r="AH514" s="153"/>
      <c r="AI514" s="153"/>
      <c r="AK514" s="133"/>
    </row>
    <row r="515" spans="1:37" s="134" customFormat="1">
      <c r="A515" s="140">
        <v>4.2300000000000004</v>
      </c>
      <c r="B515" s="134" t="str">
        <f>Comp!B382</f>
        <v>WATERJET ROOMS</v>
      </c>
      <c r="C515" s="149">
        <f t="shared" ref="C515:C516" si="209">S515</f>
        <v>0</v>
      </c>
      <c r="D515" s="149">
        <f t="shared" si="207"/>
        <v>0</v>
      </c>
      <c r="E515" s="149">
        <f t="shared" si="207"/>
        <v>0</v>
      </c>
      <c r="F515" s="149">
        <f t="shared" si="207"/>
        <v>21.19</v>
      </c>
      <c r="G515" s="149"/>
      <c r="H515" s="149"/>
      <c r="I515" s="149"/>
      <c r="J515" s="149"/>
      <c r="K515" s="149"/>
      <c r="L515" s="149"/>
      <c r="M515" s="149"/>
      <c r="N515" s="149"/>
      <c r="O515" s="149"/>
      <c r="P515" s="149">
        <f t="shared" si="157"/>
        <v>0</v>
      </c>
      <c r="Q515" s="149">
        <f t="shared" si="157"/>
        <v>0</v>
      </c>
      <c r="S515" s="153">
        <f>SUMIF('Flt III'!D:D,A515,'Flt III'!E:E)/3.2808^2</f>
        <v>0</v>
      </c>
      <c r="T515" s="153">
        <f>SUMIF('Flt IIa'!A:A,A515,'Flt IIa'!E:E)/3.2808^2</f>
        <v>0</v>
      </c>
      <c r="U515" s="153">
        <f>SUMIF('OPC Des'!A:A,A515,'OPC Des'!F:F)/3.2808^2</f>
        <v>0</v>
      </c>
      <c r="V515" s="153">
        <f>SUMIF('LCS 5'!A:A,A515,'LCS 5'!E:E)</f>
        <v>21.19</v>
      </c>
      <c r="W515" s="153">
        <f>SUMIF('USCG Summary'!$A$25:$A$50,A515,'USCG Summary'!$D$25:$D$50)/3.2808^2</f>
        <v>0</v>
      </c>
      <c r="X515" s="153">
        <f>SUMIF('USCG Summary'!$A$25:$A$50,A515,'USCG Summary'!$I$25:$I$50)/3.2808^2</f>
        <v>0</v>
      </c>
      <c r="Y515" s="153">
        <f>SUMIF('USCG Summary'!$A$25:$A$50,A515,'USCG Summary'!$L$25:$L$50)/3.2808^2</f>
        <v>0</v>
      </c>
      <c r="Z515" s="153">
        <f>SUMIF('USCG Summary'!$A$25:$A$50,A515,'USCG Summary'!$O$25:$O$50)/3.2808^2</f>
        <v>0</v>
      </c>
      <c r="AA515" s="153">
        <f>SUMIF('USCG Summary'!$A$25:$A$50,A515,'USCG Summary'!$P$25:$P$50)/3.2808^2</f>
        <v>0</v>
      </c>
      <c r="AB515" s="153">
        <f>SUMIF('USCG Summary'!$A$25:$A$50,A515,'USCG Summary'!$Q$25:$Q$50)/3.2808^2</f>
        <v>0</v>
      </c>
      <c r="AC515" s="153">
        <f>SUMIF('USCG Summary'!$A$25:$A$50,A515,'USCG Summary'!$T$25:$T$50)/3.2808^2</f>
        <v>0</v>
      </c>
      <c r="AD515" s="153">
        <f>SUMIF('USCG Summary'!$A$25:$A$50,A515,'USCG Summary'!$W$25:$W$50)/3.2808^2</f>
        <v>0</v>
      </c>
      <c r="AE515" s="153">
        <f>SUMIF('USCG Summary'!$A$25:$A$50,A515,'USCG Summary'!$Z$25:$Z$50)/3.2808^2</f>
        <v>0</v>
      </c>
      <c r="AF515" s="153">
        <f>SUMIF(Comp!$A$75:$A$400,Areas!A515,Comp!$F$75:$F$400)</f>
        <v>0</v>
      </c>
      <c r="AG515" s="153">
        <f>SUMIF(Comp!$A$75:$A$400,Areas!A515,Comp!$G$75:$G$400)</f>
        <v>0</v>
      </c>
      <c r="AH515" s="153"/>
      <c r="AI515" s="153"/>
      <c r="AK515" s="133"/>
    </row>
    <row r="516" spans="1:37" s="134" customFormat="1">
      <c r="A516" s="140">
        <v>4.24</v>
      </c>
      <c r="B516" s="134" t="str">
        <f>Comp!B383</f>
        <v>AIR FAN ROOMS</v>
      </c>
      <c r="C516" s="149">
        <f t="shared" si="209"/>
        <v>0</v>
      </c>
      <c r="D516" s="149">
        <f t="shared" si="207"/>
        <v>0</v>
      </c>
      <c r="E516" s="149">
        <f t="shared" si="207"/>
        <v>0</v>
      </c>
      <c r="F516" s="149">
        <f t="shared" si="207"/>
        <v>0</v>
      </c>
      <c r="G516" s="149"/>
      <c r="H516" s="149"/>
      <c r="I516" s="149"/>
      <c r="J516" s="149"/>
      <c r="K516" s="149"/>
      <c r="L516" s="149"/>
      <c r="M516" s="149"/>
      <c r="N516" s="149"/>
      <c r="O516" s="149"/>
      <c r="P516" s="149">
        <f t="shared" si="157"/>
        <v>0</v>
      </c>
      <c r="Q516" s="149">
        <f t="shared" si="157"/>
        <v>0</v>
      </c>
      <c r="S516" s="153">
        <f>SUMIF('Flt III'!D:D,A516,'Flt III'!E:E)/3.2808^2</f>
        <v>0</v>
      </c>
      <c r="T516" s="153">
        <f>SUMIF('Flt IIa'!A:A,A516,'Flt IIa'!E:E)/3.2808^2</f>
        <v>0</v>
      </c>
      <c r="U516" s="153">
        <f>SUMIF('OPC Des'!A:A,A516,'OPC Des'!F:F)/3.2808^2</f>
        <v>0</v>
      </c>
      <c r="V516" s="153">
        <f>SUMIF('LCS 5'!A:A,A516,'LCS 5'!E:E)</f>
        <v>0</v>
      </c>
      <c r="W516" s="153">
        <f>SUMIF('USCG Summary'!$A$25:$A$50,A516,'USCG Summary'!$D$25:$D$50)/3.2808^2</f>
        <v>0</v>
      </c>
      <c r="X516" s="153">
        <f>SUMIF('USCG Summary'!$A$25:$A$50,A516,'USCG Summary'!$I$25:$I$50)/3.2808^2</f>
        <v>0</v>
      </c>
      <c r="Y516" s="153">
        <f>SUMIF('USCG Summary'!$A$25:$A$50,A516,'USCG Summary'!$L$25:$L$50)/3.2808^2</f>
        <v>0</v>
      </c>
      <c r="Z516" s="153">
        <f>SUMIF('USCG Summary'!$A$25:$A$50,A516,'USCG Summary'!$O$25:$O$50)/3.2808^2</f>
        <v>0</v>
      </c>
      <c r="AA516" s="153">
        <f>SUMIF('USCG Summary'!$A$25:$A$50,A516,'USCG Summary'!$P$25:$P$50)/3.2808^2</f>
        <v>0</v>
      </c>
      <c r="AB516" s="153">
        <f>SUMIF('USCG Summary'!$A$25:$A$50,A516,'USCG Summary'!$Q$25:$Q$50)/3.2808^2</f>
        <v>0</v>
      </c>
      <c r="AC516" s="153">
        <f>SUMIF('USCG Summary'!$A$25:$A$50,A516,'USCG Summary'!$T$25:$T$50)/3.2808^2</f>
        <v>0</v>
      </c>
      <c r="AD516" s="153">
        <f>SUMIF('USCG Summary'!$A$25:$A$50,A516,'USCG Summary'!$W$25:$W$50)/3.2808^2</f>
        <v>0</v>
      </c>
      <c r="AE516" s="153">
        <f>SUMIF('USCG Summary'!$A$25:$A$50,A516,'USCG Summary'!$Z$25:$Z$50)/3.2808^2</f>
        <v>0</v>
      </c>
      <c r="AF516" s="153">
        <f>SUMIF(Comp!$A$75:$A$400,Areas!A516,Comp!$F$75:$F$400)</f>
        <v>0</v>
      </c>
      <c r="AG516" s="153">
        <f>SUMIF(Comp!$A$75:$A$400,Areas!A516,Comp!$G$75:$G$400)</f>
        <v>0</v>
      </c>
      <c r="AH516" s="153"/>
      <c r="AI516" s="153"/>
      <c r="AK516" s="133"/>
    </row>
    <row r="517" spans="1:37" s="139" customFormat="1">
      <c r="A517" s="137">
        <v>4.3</v>
      </c>
      <c r="B517" s="139" t="str">
        <f>Comp!B384</f>
        <v>AUX MACHINERY</v>
      </c>
      <c r="C517" s="150">
        <f>C518+C520+C524+C537+C541+C542</f>
        <v>417.42351039805021</v>
      </c>
      <c r="D517" s="150">
        <f t="shared" ref="D517:F517" si="210">D518+D520+D524+D537+D541+D542</f>
        <v>297.94729531416579</v>
      </c>
      <c r="E517" s="150">
        <f t="shared" si="210"/>
        <v>356.19891806501778</v>
      </c>
      <c r="F517" s="150">
        <f t="shared" si="210"/>
        <v>214.959</v>
      </c>
      <c r="G517" s="150">
        <f>W517</f>
        <v>10.916372684569531</v>
      </c>
      <c r="H517" s="150">
        <f t="shared" ref="H517" si="211">X517</f>
        <v>16.630048600322947</v>
      </c>
      <c r="I517" s="150">
        <f t="shared" ref="I517" si="212">Y517</f>
        <v>25.641862646308006</v>
      </c>
      <c r="J517" s="150">
        <f t="shared" ref="J517" si="213">Z517</f>
        <v>57.276117106698862</v>
      </c>
      <c r="K517" s="150">
        <f t="shared" ref="K517" si="214">AA517</f>
        <v>0</v>
      </c>
      <c r="L517" s="150">
        <f t="shared" ref="L517" si="215">AB517</f>
        <v>0</v>
      </c>
      <c r="M517" s="150">
        <f t="shared" ref="M517" si="216">AC517</f>
        <v>214.14671521644911</v>
      </c>
      <c r="N517" s="150">
        <f t="shared" ref="N517" si="217">AD517</f>
        <v>384.44212909573378</v>
      </c>
      <c r="O517" s="150">
        <f t="shared" ref="O517" si="218">AE517</f>
        <v>369.20565998705803</v>
      </c>
      <c r="P517" s="138">
        <f t="shared" si="157"/>
        <v>-227</v>
      </c>
      <c r="Q517" s="138">
        <f t="shared" si="157"/>
        <v>-224.7</v>
      </c>
      <c r="S517" s="152">
        <f>SUMIF('Flt III'!D:D,A517,'Flt III'!E:E)/3.2808^2</f>
        <v>0</v>
      </c>
      <c r="T517" s="152">
        <f>SUMIF('Flt IIa'!A:A,A517,'Flt IIa'!E:E)/3.2808^2</f>
        <v>0</v>
      </c>
      <c r="U517" s="152">
        <f>SUMIF('OPC Des'!A:A,A517,'OPC Des'!F:F)/3.2808^2</f>
        <v>0</v>
      </c>
      <c r="V517" s="152">
        <f>SUMIF('LCS 5'!A:A,A517,'LCS 5'!E:E)</f>
        <v>0</v>
      </c>
      <c r="W517" s="152">
        <f>SUMIF('USCG Summary'!$A$25:$A$50,A517,'USCG Summary'!$D$25:$D$50)/3.2808^2</f>
        <v>10.916372684569531</v>
      </c>
      <c r="X517" s="153">
        <f>SUMIF('USCG Summary'!$A$25:$A$50,A517,'USCG Summary'!$I$25:$I$50)/3.2808^2</f>
        <v>16.630048600322947</v>
      </c>
      <c r="Y517" s="153">
        <f>SUMIF('USCG Summary'!$A$25:$A$50,A517,'USCG Summary'!$L$25:$L$50)/3.2808^2</f>
        <v>25.641862646308006</v>
      </c>
      <c r="Z517" s="153">
        <f>SUMIF('USCG Summary'!$A$25:$A$50,A517,'USCG Summary'!$O$25:$O$50)/3.2808^2</f>
        <v>57.276117106698862</v>
      </c>
      <c r="AA517" s="153">
        <f>SUMIF('USCG Summary'!$A$25:$A$50,A517,'USCG Summary'!$P$25:$P$50)/3.2808^2</f>
        <v>0</v>
      </c>
      <c r="AB517" s="153">
        <f>SUMIF('USCG Summary'!$A$25:$A$50,A517,'USCG Summary'!$Q$25:$Q$50)/3.2808^2</f>
        <v>0</v>
      </c>
      <c r="AC517" s="153">
        <f>SUMIF('USCG Summary'!$A$25:$A$50,A517,'USCG Summary'!$T$25:$T$50)/3.2808^2</f>
        <v>214.14671521644911</v>
      </c>
      <c r="AD517" s="153">
        <f>SUMIF('USCG Summary'!$A$25:$A$50,A517,'USCG Summary'!$W$25:$W$50)/3.2808^2</f>
        <v>384.44212909573378</v>
      </c>
      <c r="AE517" s="153">
        <f>SUMIF('USCG Summary'!$A$25:$A$50,A517,'USCG Summary'!$Z$25:$Z$50)/3.2808^2</f>
        <v>369.20565998705803</v>
      </c>
      <c r="AF517" s="152">
        <f>SUMIF(Comp!$A$75:$A$400,Areas!A517,Comp!$F$75:$F$400)</f>
        <v>-227</v>
      </c>
      <c r="AG517" s="152">
        <f>SUMIF(Comp!$A$75:$A$400,Areas!A517,Comp!$G$75:$G$400)</f>
        <v>-224.7</v>
      </c>
      <c r="AH517" s="152"/>
      <c r="AI517" s="152"/>
      <c r="AK517" s="138"/>
    </row>
    <row r="518" spans="1:37" s="134" customFormat="1">
      <c r="A518" s="140">
        <v>4.3099999999999996</v>
      </c>
      <c r="B518" s="134" t="str">
        <f>Comp!B385</f>
        <v>GENERAL (AUX MACH DELTA)</v>
      </c>
      <c r="C518" s="149">
        <f>C519</f>
        <v>0</v>
      </c>
      <c r="D518" s="149">
        <f t="shared" ref="D518:F518" si="219">D519</f>
        <v>0</v>
      </c>
      <c r="E518" s="149">
        <f t="shared" si="219"/>
        <v>220.9288020757987</v>
      </c>
      <c r="F518" s="149">
        <f t="shared" si="219"/>
        <v>107.28</v>
      </c>
      <c r="G518" s="149"/>
      <c r="H518" s="149"/>
      <c r="I518" s="149"/>
      <c r="J518" s="149"/>
      <c r="K518" s="149"/>
      <c r="L518" s="149"/>
      <c r="M518" s="149"/>
      <c r="N518" s="149"/>
      <c r="O518" s="149"/>
      <c r="P518" s="149">
        <f t="shared" si="157"/>
        <v>-867.5</v>
      </c>
      <c r="Q518" s="149">
        <f t="shared" si="157"/>
        <v>-867.5</v>
      </c>
      <c r="S518" s="153">
        <f>SUMIF('Flt III'!D:D,A518,'Flt III'!E:E)/3.2808^2</f>
        <v>0</v>
      </c>
      <c r="T518" s="153">
        <f>SUMIF('Flt IIa'!A:A,A518,'Flt IIa'!E:E)/3.2808^2</f>
        <v>0</v>
      </c>
      <c r="U518" s="153">
        <f>SUMIF('OPC Des'!A:A,A518,'OPC Des'!F:F)/3.2808^2</f>
        <v>0</v>
      </c>
      <c r="V518" s="153">
        <f>SUMIF('LCS 5'!A:A,A518,'LCS 5'!E:E)</f>
        <v>0</v>
      </c>
      <c r="W518" s="153">
        <f>SUMIF('USCG Summary'!$A$25:$A$50,A518,'USCG Summary'!$D$25:$D$50)/3.2808^2</f>
        <v>0</v>
      </c>
      <c r="X518" s="153">
        <f>SUMIF('USCG Summary'!$A$25:$A$50,A518,'USCG Summary'!$I$25:$I$50)/3.2808^2</f>
        <v>0</v>
      </c>
      <c r="Y518" s="153">
        <f>SUMIF('USCG Summary'!$A$25:$A$50,A518,'USCG Summary'!$L$25:$L$50)/3.2808^2</f>
        <v>0</v>
      </c>
      <c r="Z518" s="153">
        <f>SUMIF('USCG Summary'!$A$25:$A$50,A518,'USCG Summary'!$O$25:$O$50)/3.2808^2</f>
        <v>0</v>
      </c>
      <c r="AA518" s="153">
        <f>SUMIF('USCG Summary'!$A$25:$A$50,A518,'USCG Summary'!$P$25:$P$50)/3.2808^2</f>
        <v>0</v>
      </c>
      <c r="AB518" s="153">
        <f>SUMIF('USCG Summary'!$A$25:$A$50,A518,'USCG Summary'!$Q$25:$Q$50)/3.2808^2</f>
        <v>0</v>
      </c>
      <c r="AC518" s="153">
        <f>SUMIF('USCG Summary'!$A$25:$A$50,A518,'USCG Summary'!$T$25:$T$50)/3.2808^2</f>
        <v>0</v>
      </c>
      <c r="AD518" s="153">
        <f>SUMIF('USCG Summary'!$A$25:$A$50,A518,'USCG Summary'!$W$25:$W$50)/3.2808^2</f>
        <v>0</v>
      </c>
      <c r="AE518" s="153">
        <f>SUMIF('USCG Summary'!$A$25:$A$50,A518,'USCG Summary'!$Z$25:$Z$50)/3.2808^2</f>
        <v>0</v>
      </c>
      <c r="AF518" s="153">
        <f>SUMIF(Comp!$A$75:$A$400,Areas!A518,Comp!$F$75:$F$400)</f>
        <v>-867.5</v>
      </c>
      <c r="AG518" s="153">
        <f>SUMIF(Comp!$A$75:$A$400,Areas!A518,Comp!$G$75:$G$400)</f>
        <v>-867.5</v>
      </c>
      <c r="AH518" s="153"/>
      <c r="AI518" s="153"/>
      <c r="AK518" s="133"/>
    </row>
    <row r="519" spans="1:37" s="148" customFormat="1">
      <c r="A519" s="146" t="s">
        <v>448</v>
      </c>
      <c r="C519" s="147">
        <f t="shared" ref="C519" si="220">S519</f>
        <v>0</v>
      </c>
      <c r="D519" s="147">
        <f t="shared" ref="D519" si="221">T519</f>
        <v>0</v>
      </c>
      <c r="E519" s="147">
        <f t="shared" ref="E519:F519" si="222">U519</f>
        <v>220.9288020757987</v>
      </c>
      <c r="F519" s="147">
        <f t="shared" si="222"/>
        <v>107.28</v>
      </c>
      <c r="G519" s="147"/>
      <c r="H519" s="147"/>
      <c r="I519" s="147"/>
      <c r="J519" s="147"/>
      <c r="K519" s="147"/>
      <c r="L519" s="147"/>
      <c r="M519" s="147"/>
      <c r="N519" s="147"/>
      <c r="O519" s="147"/>
      <c r="P519" s="147">
        <f t="shared" si="157"/>
        <v>0</v>
      </c>
      <c r="Q519" s="147">
        <f t="shared" si="157"/>
        <v>0</v>
      </c>
      <c r="S519" s="155">
        <f>SUMIF('Flt III'!D:D,A519,'Flt III'!E:E)/3.2808^2</f>
        <v>0</v>
      </c>
      <c r="T519" s="155">
        <f>SUMIF('Flt IIa'!A:A,A519,'Flt IIa'!E:E)/3.2808^2</f>
        <v>0</v>
      </c>
      <c r="U519" s="155">
        <f>SUMIF('OPC Des'!A:A,A519,'OPC Des'!F:F)/3.2808^2</f>
        <v>220.9288020757987</v>
      </c>
      <c r="V519" s="155">
        <f>SUMIF('LCS 5'!A:A,A519,'LCS 5'!E:E)</f>
        <v>107.28</v>
      </c>
      <c r="W519" s="155">
        <f>SUMIF('USCG Summary'!$A$25:$A$50,A519,'USCG Summary'!$D$25:$D$50)/3.2808^2</f>
        <v>0</v>
      </c>
      <c r="X519" s="153">
        <f>SUMIF('USCG Summary'!$A$25:$A$50,A519,'USCG Summary'!$I$25:$I$50)/3.2808^2</f>
        <v>0</v>
      </c>
      <c r="Y519" s="153">
        <f>SUMIF('USCG Summary'!$A$25:$A$50,A519,'USCG Summary'!$L$25:$L$50)/3.2808^2</f>
        <v>0</v>
      </c>
      <c r="Z519" s="153">
        <f>SUMIF('USCG Summary'!$A$25:$A$50,A519,'USCG Summary'!$O$25:$O$50)/3.2808^2</f>
        <v>0</v>
      </c>
      <c r="AA519" s="153">
        <f>SUMIF('USCG Summary'!$A$25:$A$50,A519,'USCG Summary'!$P$25:$P$50)/3.2808^2</f>
        <v>0</v>
      </c>
      <c r="AB519" s="153">
        <f>SUMIF('USCG Summary'!$A$25:$A$50,A519,'USCG Summary'!$Q$25:$Q$50)/3.2808^2</f>
        <v>0</v>
      </c>
      <c r="AC519" s="153">
        <f>SUMIF('USCG Summary'!$A$25:$A$50,A519,'USCG Summary'!$T$25:$T$50)/3.2808^2</f>
        <v>0</v>
      </c>
      <c r="AD519" s="153">
        <f>SUMIF('USCG Summary'!$A$25:$A$50,A519,'USCG Summary'!$W$25:$W$50)/3.2808^2</f>
        <v>0</v>
      </c>
      <c r="AE519" s="153">
        <f>SUMIF('USCG Summary'!$A$25:$A$50,A519,'USCG Summary'!$Z$25:$Z$50)/3.2808^2</f>
        <v>0</v>
      </c>
      <c r="AF519" s="155">
        <f>SUMIF(Comp!$A$75:$A$400,Areas!A519,Comp!$F$75:$F$400)</f>
        <v>0</v>
      </c>
      <c r="AG519" s="155">
        <f>SUMIF(Comp!$A$75:$A$400,Areas!A519,Comp!$G$75:$G$400)</f>
        <v>0</v>
      </c>
      <c r="AH519" s="155"/>
      <c r="AI519" s="155"/>
      <c r="AK519" s="147"/>
    </row>
    <row r="520" spans="1:37" s="134" customFormat="1">
      <c r="A520" s="140">
        <v>4.32</v>
      </c>
      <c r="B520" s="134" t="str">
        <f>Comp!B386</f>
        <v>A/C &amp; REFRIGERATION</v>
      </c>
      <c r="C520" s="149">
        <f>C521</f>
        <v>1.6722953899766091</v>
      </c>
      <c r="D520" s="149">
        <f>T520</f>
        <v>15.050658509789482</v>
      </c>
      <c r="E520" s="149">
        <f t="shared" ref="E520:F520" si="223">E521</f>
        <v>0</v>
      </c>
      <c r="F520" s="149">
        <f t="shared" si="223"/>
        <v>0</v>
      </c>
      <c r="G520" s="149"/>
      <c r="H520" s="149"/>
      <c r="I520" s="149"/>
      <c r="J520" s="149"/>
      <c r="K520" s="149"/>
      <c r="L520" s="149"/>
      <c r="M520" s="149"/>
      <c r="N520" s="149"/>
      <c r="O520" s="149"/>
      <c r="P520" s="149">
        <f t="shared" si="157"/>
        <v>0</v>
      </c>
      <c r="Q520" s="149">
        <f t="shared" si="157"/>
        <v>0</v>
      </c>
      <c r="S520" s="153">
        <f>SUMIF('Flt III'!D:D,A520,'Flt III'!E:E)/3.2808^2</f>
        <v>0</v>
      </c>
      <c r="T520" s="153">
        <f>SUMIF('Flt IIa'!A:A,A520,'Flt IIa'!E:E)/3.2808^2</f>
        <v>15.050658509789482</v>
      </c>
      <c r="U520" s="153">
        <f>SUMIF('OPC Des'!A:A,A520,'OPC Des'!F:F)/3.2808^2</f>
        <v>0</v>
      </c>
      <c r="V520" s="153">
        <f>SUMIF('LCS 5'!A:A,A520,'LCS 5'!E:E)</f>
        <v>0</v>
      </c>
      <c r="W520" s="153">
        <f>SUMIF('USCG Summary'!$A$25:$A$50,A520,'USCG Summary'!$D$25:$D$50)/3.2808^2</f>
        <v>0</v>
      </c>
      <c r="X520" s="153">
        <f>SUMIF('USCG Summary'!$A$25:$A$50,A520,'USCG Summary'!$I$25:$I$50)/3.2808^2</f>
        <v>0</v>
      </c>
      <c r="Y520" s="153">
        <f>SUMIF('USCG Summary'!$A$25:$A$50,A520,'USCG Summary'!$L$25:$L$50)/3.2808^2</f>
        <v>0</v>
      </c>
      <c r="Z520" s="153">
        <f>SUMIF('USCG Summary'!$A$25:$A$50,A520,'USCG Summary'!$O$25:$O$50)/3.2808^2</f>
        <v>0</v>
      </c>
      <c r="AA520" s="153">
        <f>SUMIF('USCG Summary'!$A$25:$A$50,A520,'USCG Summary'!$P$25:$P$50)/3.2808^2</f>
        <v>0</v>
      </c>
      <c r="AB520" s="153">
        <f>SUMIF('USCG Summary'!$A$25:$A$50,A520,'USCG Summary'!$Q$25:$Q$50)/3.2808^2</f>
        <v>0</v>
      </c>
      <c r="AC520" s="153">
        <f>SUMIF('USCG Summary'!$A$25:$A$50,A520,'USCG Summary'!$T$25:$T$50)/3.2808^2</f>
        <v>0</v>
      </c>
      <c r="AD520" s="153">
        <f>SUMIF('USCG Summary'!$A$25:$A$50,A520,'USCG Summary'!$W$25:$W$50)/3.2808^2</f>
        <v>0</v>
      </c>
      <c r="AE520" s="153">
        <f>SUMIF('USCG Summary'!$A$25:$A$50,A520,'USCG Summary'!$Z$25:$Z$50)/3.2808^2</f>
        <v>0</v>
      </c>
      <c r="AF520" s="153">
        <f>SUMIF(Comp!$A$75:$A$400,Areas!A520,Comp!$F$75:$F$400)</f>
        <v>0</v>
      </c>
      <c r="AG520" s="153">
        <f>SUMIF(Comp!$A$75:$A$400,Areas!A520,Comp!$G$75:$G$400)</f>
        <v>0</v>
      </c>
      <c r="AH520" s="153"/>
      <c r="AI520" s="153"/>
      <c r="AK520" s="133"/>
    </row>
    <row r="521" spans="1:37" s="148" customFormat="1">
      <c r="A521" s="146" t="s">
        <v>440</v>
      </c>
      <c r="B521" s="146"/>
      <c r="C521" s="147">
        <f t="shared" ref="C521:C523" si="224">S521</f>
        <v>1.6722953899766091</v>
      </c>
      <c r="D521" s="147">
        <f t="shared" ref="D521:D523" si="225">T521</f>
        <v>0</v>
      </c>
      <c r="E521" s="147">
        <f t="shared" ref="E521:F523" si="226">U521</f>
        <v>0</v>
      </c>
      <c r="F521" s="147">
        <f t="shared" si="226"/>
        <v>0</v>
      </c>
      <c r="G521" s="147"/>
      <c r="H521" s="147"/>
      <c r="I521" s="147"/>
      <c r="J521" s="147"/>
      <c r="K521" s="147"/>
      <c r="L521" s="147"/>
      <c r="M521" s="147"/>
      <c r="N521" s="147"/>
      <c r="O521" s="147"/>
      <c r="P521" s="147">
        <f t="shared" si="157"/>
        <v>0</v>
      </c>
      <c r="Q521" s="147">
        <f t="shared" si="157"/>
        <v>0</v>
      </c>
      <c r="S521" s="155">
        <f>SUMIF('Flt III'!D:D,A521,'Flt III'!E:E)/3.2808^2</f>
        <v>1.6722953899766091</v>
      </c>
      <c r="T521" s="155">
        <f>SUMIF('Flt IIa'!A:A,A521,'Flt IIa'!E:E)/3.2808^2</f>
        <v>0</v>
      </c>
      <c r="U521" s="155">
        <f>SUMIF('OPC Des'!A:A,A521,'OPC Des'!F:F)/3.2808^2</f>
        <v>0</v>
      </c>
      <c r="V521" s="155">
        <f>SUMIF('LCS 5'!A:A,A521,'LCS 5'!E:E)</f>
        <v>0</v>
      </c>
      <c r="W521" s="155">
        <f>SUMIF('USCG Summary'!$A$25:$A$50,A521,'USCG Summary'!$D$25:$D$50)/3.2808^2</f>
        <v>0</v>
      </c>
      <c r="X521" s="153">
        <f>SUMIF('USCG Summary'!$A$25:$A$50,A521,'USCG Summary'!$I$25:$I$50)/3.2808^2</f>
        <v>0</v>
      </c>
      <c r="Y521" s="153">
        <f>SUMIF('USCG Summary'!$A$25:$A$50,A521,'USCG Summary'!$L$25:$L$50)/3.2808^2</f>
        <v>0</v>
      </c>
      <c r="Z521" s="153">
        <f>SUMIF('USCG Summary'!$A$25:$A$50,A521,'USCG Summary'!$O$25:$O$50)/3.2808^2</f>
        <v>0</v>
      </c>
      <c r="AA521" s="153">
        <f>SUMIF('USCG Summary'!$A$25:$A$50,A521,'USCG Summary'!$P$25:$P$50)/3.2808^2</f>
        <v>0</v>
      </c>
      <c r="AB521" s="153">
        <f>SUMIF('USCG Summary'!$A$25:$A$50,A521,'USCG Summary'!$Q$25:$Q$50)/3.2808^2</f>
        <v>0</v>
      </c>
      <c r="AC521" s="153">
        <f>SUMIF('USCG Summary'!$A$25:$A$50,A521,'USCG Summary'!$T$25:$T$50)/3.2808^2</f>
        <v>0</v>
      </c>
      <c r="AD521" s="153">
        <f>SUMIF('USCG Summary'!$A$25:$A$50,A521,'USCG Summary'!$W$25:$W$50)/3.2808^2</f>
        <v>0</v>
      </c>
      <c r="AE521" s="153">
        <f>SUMIF('USCG Summary'!$A$25:$A$50,A521,'USCG Summary'!$Z$25:$Z$50)/3.2808^2</f>
        <v>0</v>
      </c>
      <c r="AF521" s="155">
        <f>SUMIF(Comp!$A$75:$A$400,Areas!A521,Comp!$F$75:$F$400)</f>
        <v>0</v>
      </c>
      <c r="AG521" s="155">
        <f>SUMIF(Comp!$A$75:$A$400,Areas!A521,Comp!$G$75:$G$400)</f>
        <v>0</v>
      </c>
      <c r="AH521" s="155"/>
      <c r="AI521" s="155"/>
      <c r="AK521" s="147"/>
    </row>
    <row r="522" spans="1:37" s="132" customFormat="1">
      <c r="A522" s="142">
        <v>4.3209999999999997</v>
      </c>
      <c r="B522" s="132" t="str">
        <f>Comp!B387</f>
        <v>A/C (INCL VENT)</v>
      </c>
      <c r="C522" s="143">
        <f t="shared" si="224"/>
        <v>0</v>
      </c>
      <c r="D522" s="143">
        <f t="shared" si="225"/>
        <v>0</v>
      </c>
      <c r="E522" s="143">
        <f t="shared" si="226"/>
        <v>0</v>
      </c>
      <c r="F522" s="143">
        <f t="shared" si="226"/>
        <v>0</v>
      </c>
      <c r="G522" s="143"/>
      <c r="H522" s="143"/>
      <c r="I522" s="143"/>
      <c r="J522" s="143"/>
      <c r="K522" s="143"/>
      <c r="L522" s="143"/>
      <c r="M522" s="143"/>
      <c r="N522" s="143"/>
      <c r="O522" s="143"/>
      <c r="P522" s="143">
        <f t="shared" si="157"/>
        <v>0</v>
      </c>
      <c r="Q522" s="143">
        <f t="shared" si="157"/>
        <v>0</v>
      </c>
      <c r="S522" s="154">
        <f>SUMIF('Flt III'!D:D,A522,'Flt III'!E:E)/3.2808^2</f>
        <v>0</v>
      </c>
      <c r="T522" s="154">
        <f>SUMIF('Flt IIa'!A:A,A522,'Flt IIa'!E:E)/3.2808^2</f>
        <v>0</v>
      </c>
      <c r="U522" s="154">
        <f>SUMIF('OPC Des'!A:A,A522,'OPC Des'!F:F)/3.2808^2</f>
        <v>0</v>
      </c>
      <c r="V522" s="154">
        <f>SUMIF('LCS 5'!A:A,A522,'LCS 5'!E:E)</f>
        <v>0</v>
      </c>
      <c r="W522" s="154">
        <f>SUMIF('USCG Summary'!$A$25:$A$50,A522,'USCG Summary'!$D$25:$D$50)/3.2808^2</f>
        <v>0</v>
      </c>
      <c r="X522" s="153">
        <f>SUMIF('USCG Summary'!$A$25:$A$50,A522,'USCG Summary'!$I$25:$I$50)/3.2808^2</f>
        <v>0</v>
      </c>
      <c r="Y522" s="153">
        <f>SUMIF('USCG Summary'!$A$25:$A$50,A522,'USCG Summary'!$L$25:$L$50)/3.2808^2</f>
        <v>0</v>
      </c>
      <c r="Z522" s="153">
        <f>SUMIF('USCG Summary'!$A$25:$A$50,A522,'USCG Summary'!$O$25:$O$50)/3.2808^2</f>
        <v>0</v>
      </c>
      <c r="AA522" s="153">
        <f>SUMIF('USCG Summary'!$A$25:$A$50,A522,'USCG Summary'!$P$25:$P$50)/3.2808^2</f>
        <v>0</v>
      </c>
      <c r="AB522" s="153">
        <f>SUMIF('USCG Summary'!$A$25:$A$50,A522,'USCG Summary'!$Q$25:$Q$50)/3.2808^2</f>
        <v>0</v>
      </c>
      <c r="AC522" s="153">
        <f>SUMIF('USCG Summary'!$A$25:$A$50,A522,'USCG Summary'!$T$25:$T$50)/3.2808^2</f>
        <v>0</v>
      </c>
      <c r="AD522" s="153">
        <f>SUMIF('USCG Summary'!$A$25:$A$50,A522,'USCG Summary'!$W$25:$W$50)/3.2808^2</f>
        <v>0</v>
      </c>
      <c r="AE522" s="153">
        <f>SUMIF('USCG Summary'!$A$25:$A$50,A522,'USCG Summary'!$Z$25:$Z$50)/3.2808^2</f>
        <v>0</v>
      </c>
      <c r="AF522" s="154">
        <f>SUMIF(Comp!$A$75:$A$400,Areas!A522,Comp!$F$75:$F$400)</f>
        <v>0</v>
      </c>
      <c r="AG522" s="154">
        <f>SUMIF(Comp!$A$75:$A$400,Areas!A522,Comp!$G$75:$G$400)</f>
        <v>0</v>
      </c>
      <c r="AH522" s="154"/>
      <c r="AI522" s="154"/>
      <c r="AK522" s="143"/>
    </row>
    <row r="523" spans="1:37" s="132" customFormat="1">
      <c r="A523" s="142">
        <v>4.3220000000000001</v>
      </c>
      <c r="B523" s="132" t="str">
        <f>Comp!B388</f>
        <v>REFRIGERATION</v>
      </c>
      <c r="C523" s="143">
        <f t="shared" si="224"/>
        <v>0</v>
      </c>
      <c r="D523" s="143">
        <f t="shared" si="225"/>
        <v>0</v>
      </c>
      <c r="E523" s="143">
        <f t="shared" si="226"/>
        <v>0</v>
      </c>
      <c r="F523" s="143">
        <f t="shared" si="226"/>
        <v>0</v>
      </c>
      <c r="G523" s="143"/>
      <c r="H523" s="143"/>
      <c r="I523" s="143"/>
      <c r="J523" s="143"/>
      <c r="K523" s="143"/>
      <c r="L523" s="143"/>
      <c r="M523" s="143"/>
      <c r="N523" s="143"/>
      <c r="O523" s="143"/>
      <c r="P523" s="143">
        <f t="shared" si="157"/>
        <v>0</v>
      </c>
      <c r="Q523" s="143">
        <f t="shared" si="157"/>
        <v>0</v>
      </c>
      <c r="S523" s="154">
        <f>SUMIF('Flt III'!D:D,A523,'Flt III'!E:E)/3.2808^2</f>
        <v>0</v>
      </c>
      <c r="T523" s="154">
        <f>SUMIF('Flt IIa'!A:A,A523,'Flt IIa'!E:E)/3.2808^2</f>
        <v>0</v>
      </c>
      <c r="U523" s="154">
        <f>SUMIF('OPC Des'!A:A,A523,'OPC Des'!F:F)/3.2808^2</f>
        <v>0</v>
      </c>
      <c r="V523" s="154">
        <f>SUMIF('LCS 5'!A:A,A523,'LCS 5'!E:E)</f>
        <v>0</v>
      </c>
      <c r="W523" s="154">
        <f>SUMIF('USCG Summary'!$A$25:$A$50,A523,'USCG Summary'!$D$25:$D$50)/3.2808^2</f>
        <v>0</v>
      </c>
      <c r="X523" s="153">
        <f>SUMIF('USCG Summary'!$A$25:$A$50,A523,'USCG Summary'!$I$25:$I$50)/3.2808^2</f>
        <v>0</v>
      </c>
      <c r="Y523" s="153">
        <f>SUMIF('USCG Summary'!$A$25:$A$50,A523,'USCG Summary'!$L$25:$L$50)/3.2808^2</f>
        <v>0</v>
      </c>
      <c r="Z523" s="153">
        <f>SUMIF('USCG Summary'!$A$25:$A$50,A523,'USCG Summary'!$O$25:$O$50)/3.2808^2</f>
        <v>0</v>
      </c>
      <c r="AA523" s="153">
        <f>SUMIF('USCG Summary'!$A$25:$A$50,A523,'USCG Summary'!$P$25:$P$50)/3.2808^2</f>
        <v>0</v>
      </c>
      <c r="AB523" s="153">
        <f>SUMIF('USCG Summary'!$A$25:$A$50,A523,'USCG Summary'!$Q$25:$Q$50)/3.2808^2</f>
        <v>0</v>
      </c>
      <c r="AC523" s="153">
        <f>SUMIF('USCG Summary'!$A$25:$A$50,A523,'USCG Summary'!$T$25:$T$50)/3.2808^2</f>
        <v>0</v>
      </c>
      <c r="AD523" s="153">
        <f>SUMIF('USCG Summary'!$A$25:$A$50,A523,'USCG Summary'!$W$25:$W$50)/3.2808^2</f>
        <v>0</v>
      </c>
      <c r="AE523" s="153">
        <f>SUMIF('USCG Summary'!$A$25:$A$50,A523,'USCG Summary'!$Z$25:$Z$50)/3.2808^2</f>
        <v>0</v>
      </c>
      <c r="AF523" s="154">
        <f>SUMIF(Comp!$A$75:$A$400,Areas!A523,Comp!$F$75:$F$400)</f>
        <v>0</v>
      </c>
      <c r="AG523" s="154">
        <f>SUMIF(Comp!$A$75:$A$400,Areas!A523,Comp!$G$75:$G$400)</f>
        <v>0</v>
      </c>
      <c r="AH523" s="154"/>
      <c r="AI523" s="154"/>
      <c r="AK523" s="143"/>
    </row>
    <row r="524" spans="1:37" s="134" customFormat="1">
      <c r="A524" s="140">
        <v>4.33</v>
      </c>
      <c r="B524" s="134" t="str">
        <f>Comp!B389</f>
        <v>ELECTRICAL</v>
      </c>
      <c r="C524" s="149">
        <f>C525</f>
        <v>81.199231713308677</v>
      </c>
      <c r="D524" s="149">
        <f t="shared" ref="D524:F524" si="227">D525</f>
        <v>256.13991056475061</v>
      </c>
      <c r="E524" s="149">
        <f t="shared" si="227"/>
        <v>0</v>
      </c>
      <c r="F524" s="149">
        <f t="shared" si="227"/>
        <v>8.83</v>
      </c>
      <c r="G524" s="149"/>
      <c r="H524" s="149"/>
      <c r="I524" s="149"/>
      <c r="J524" s="149"/>
      <c r="K524" s="149"/>
      <c r="L524" s="149"/>
      <c r="M524" s="149"/>
      <c r="N524" s="149"/>
      <c r="O524" s="149"/>
      <c r="P524" s="149">
        <f t="shared" si="157"/>
        <v>194.5</v>
      </c>
      <c r="Q524" s="149">
        <f t="shared" si="157"/>
        <v>196.8</v>
      </c>
      <c r="S524" s="153">
        <f>SUMIF('Flt III'!D:D,A524,'Flt III'!E:E)/3.2808^2</f>
        <v>0</v>
      </c>
      <c r="T524" s="153">
        <f>SUMIF('Flt IIa'!A:A,A524,'Flt IIa'!E:E)/3.2808^2</f>
        <v>0</v>
      </c>
      <c r="U524" s="153">
        <f>SUMIF('OPC Des'!A:A,A524,'OPC Des'!F:F)/3.2808^2</f>
        <v>0</v>
      </c>
      <c r="V524" s="153">
        <f>SUMIF('LCS 5'!A:A,A524,'LCS 5'!E:E)</f>
        <v>0</v>
      </c>
      <c r="W524" s="153">
        <f>SUMIF('USCG Summary'!$A$25:$A$50,A524,'USCG Summary'!$D$25:$D$50)/3.2808^2</f>
        <v>0</v>
      </c>
      <c r="X524" s="153">
        <f>SUMIF('USCG Summary'!$A$25:$A$50,A524,'USCG Summary'!$I$25:$I$50)/3.2808^2</f>
        <v>0</v>
      </c>
      <c r="Y524" s="153">
        <f>SUMIF('USCG Summary'!$A$25:$A$50,A524,'USCG Summary'!$L$25:$L$50)/3.2808^2</f>
        <v>0</v>
      </c>
      <c r="Z524" s="153">
        <f>SUMIF('USCG Summary'!$A$25:$A$50,A524,'USCG Summary'!$O$25:$O$50)/3.2808^2</f>
        <v>0</v>
      </c>
      <c r="AA524" s="153">
        <f>SUMIF('USCG Summary'!$A$25:$A$50,A524,'USCG Summary'!$P$25:$P$50)/3.2808^2</f>
        <v>0</v>
      </c>
      <c r="AB524" s="153">
        <f>SUMIF('USCG Summary'!$A$25:$A$50,A524,'USCG Summary'!$Q$25:$Q$50)/3.2808^2</f>
        <v>0</v>
      </c>
      <c r="AC524" s="153">
        <f>SUMIF('USCG Summary'!$A$25:$A$50,A524,'USCG Summary'!$T$25:$T$50)/3.2808^2</f>
        <v>0</v>
      </c>
      <c r="AD524" s="153">
        <f>SUMIF('USCG Summary'!$A$25:$A$50,A524,'USCG Summary'!$W$25:$W$50)/3.2808^2</f>
        <v>0</v>
      </c>
      <c r="AE524" s="153">
        <f>SUMIF('USCG Summary'!$A$25:$A$50,A524,'USCG Summary'!$Z$25:$Z$50)/3.2808^2</f>
        <v>0</v>
      </c>
      <c r="AF524" s="153">
        <f>SUMIF(Comp!$A$75:$A$400,Areas!A524,Comp!$F$75:$F$400)</f>
        <v>194.5</v>
      </c>
      <c r="AG524" s="153">
        <f>SUMIF(Comp!$A$75:$A$400,Areas!A524,Comp!$G$75:$G$400)</f>
        <v>196.8</v>
      </c>
      <c r="AH524" s="153"/>
      <c r="AI524" s="153"/>
      <c r="AK524" s="133"/>
    </row>
    <row r="525" spans="1:37" s="132" customFormat="1">
      <c r="A525" s="142">
        <v>4.3310000000000004</v>
      </c>
      <c r="B525" s="132" t="str">
        <f>Comp!B390</f>
        <v>POWER GENERATION</v>
      </c>
      <c r="C525" s="143">
        <f>SUM(C526:C530)</f>
        <v>81.199231713308677</v>
      </c>
      <c r="D525" s="143">
        <f>T525</f>
        <v>256.13991056475061</v>
      </c>
      <c r="E525" s="143">
        <f>SUM(E526:E530)</f>
        <v>0</v>
      </c>
      <c r="F525" s="143">
        <f>SUM(F526:F530)</f>
        <v>8.83</v>
      </c>
      <c r="G525" s="143"/>
      <c r="H525" s="143"/>
      <c r="I525" s="143"/>
      <c r="J525" s="143"/>
      <c r="K525" s="143"/>
      <c r="L525" s="143"/>
      <c r="M525" s="143"/>
      <c r="N525" s="143"/>
      <c r="O525" s="143"/>
      <c r="P525" s="143">
        <f t="shared" si="157"/>
        <v>98.5</v>
      </c>
      <c r="Q525" s="143">
        <f t="shared" si="157"/>
        <v>98.5</v>
      </c>
      <c r="S525" s="154">
        <f>SUMIF('Flt III'!D:D,A525,'Flt III'!E:E)/3.2808^2</f>
        <v>0</v>
      </c>
      <c r="T525" s="154">
        <f>SUMIF('Flt IIa'!A:A,A525,'Flt IIa'!E:E)/3.2808^2</f>
        <v>256.13991056475061</v>
      </c>
      <c r="U525" s="154">
        <f>SUMIF('OPC Des'!A:A,A525,'OPC Des'!F:F)/3.2808^2</f>
        <v>0</v>
      </c>
      <c r="V525" s="154">
        <f>SUMIF('LCS 5'!A:A,A525,'LCS 5'!E:E)</f>
        <v>0</v>
      </c>
      <c r="W525" s="154">
        <f>SUMIF('USCG Summary'!$A$25:$A$50,A525,'USCG Summary'!$D$25:$D$50)/3.2808^2</f>
        <v>0</v>
      </c>
      <c r="X525" s="153">
        <f>SUMIF('USCG Summary'!$A$25:$A$50,A525,'USCG Summary'!$I$25:$I$50)/3.2808^2</f>
        <v>0</v>
      </c>
      <c r="Y525" s="153">
        <f>SUMIF('USCG Summary'!$A$25:$A$50,A525,'USCG Summary'!$L$25:$L$50)/3.2808^2</f>
        <v>0</v>
      </c>
      <c r="Z525" s="153">
        <f>SUMIF('USCG Summary'!$A$25:$A$50,A525,'USCG Summary'!$O$25:$O$50)/3.2808^2</f>
        <v>0</v>
      </c>
      <c r="AA525" s="153">
        <f>SUMIF('USCG Summary'!$A$25:$A$50,A525,'USCG Summary'!$P$25:$P$50)/3.2808^2</f>
        <v>0</v>
      </c>
      <c r="AB525" s="153">
        <f>SUMIF('USCG Summary'!$A$25:$A$50,A525,'USCG Summary'!$Q$25:$Q$50)/3.2808^2</f>
        <v>0</v>
      </c>
      <c r="AC525" s="153">
        <f>SUMIF('USCG Summary'!$A$25:$A$50,A525,'USCG Summary'!$T$25:$T$50)/3.2808^2</f>
        <v>0</v>
      </c>
      <c r="AD525" s="153">
        <f>SUMIF('USCG Summary'!$A$25:$A$50,A525,'USCG Summary'!$W$25:$W$50)/3.2808^2</f>
        <v>0</v>
      </c>
      <c r="AE525" s="153">
        <f>SUMIF('USCG Summary'!$A$25:$A$50,A525,'USCG Summary'!$Z$25:$Z$50)/3.2808^2</f>
        <v>0</v>
      </c>
      <c r="AF525" s="154">
        <f>SUMIF(Comp!$A$75:$A$400,Areas!A525,Comp!$F$75:$F$400)</f>
        <v>98.5</v>
      </c>
      <c r="AG525" s="154">
        <f>SUMIF(Comp!$A$75:$A$400,Areas!A525,Comp!$G$75:$G$400)</f>
        <v>98.5</v>
      </c>
      <c r="AH525" s="154"/>
      <c r="AI525" s="154"/>
      <c r="AK525" s="143"/>
    </row>
    <row r="526" spans="1:37" s="148" customFormat="1">
      <c r="A526" s="146" t="s">
        <v>435</v>
      </c>
      <c r="B526" s="146"/>
      <c r="C526" s="147">
        <f t="shared" ref="C526" si="228">S526</f>
        <v>74.231334255072809</v>
      </c>
      <c r="D526" s="147">
        <f t="shared" ref="D526:D531" si="229">T526</f>
        <v>0</v>
      </c>
      <c r="E526" s="147">
        <f t="shared" ref="E526:F531" si="230">U526</f>
        <v>0</v>
      </c>
      <c r="F526" s="147">
        <f t="shared" si="230"/>
        <v>5.97</v>
      </c>
      <c r="G526" s="147"/>
      <c r="H526" s="147"/>
      <c r="I526" s="147"/>
      <c r="J526" s="147"/>
      <c r="K526" s="147"/>
      <c r="L526" s="147"/>
      <c r="M526" s="147"/>
      <c r="N526" s="147"/>
      <c r="O526" s="147"/>
      <c r="P526" s="147">
        <f t="shared" si="157"/>
        <v>0</v>
      </c>
      <c r="Q526" s="147">
        <f t="shared" si="157"/>
        <v>0</v>
      </c>
      <c r="S526" s="155">
        <f>SUMIF('Flt III'!D:D,A526,'Flt III'!E:E)/3.2808^2</f>
        <v>74.231334255072809</v>
      </c>
      <c r="T526" s="155">
        <f>SUMIF('Flt IIa'!A:A,A526,'Flt IIa'!E:E)/3.2808^2</f>
        <v>0</v>
      </c>
      <c r="U526" s="155">
        <f>SUMIF('OPC Des'!A:A,A526,'OPC Des'!F:F)/3.2808^2</f>
        <v>0</v>
      </c>
      <c r="V526" s="155">
        <f>SUMIF('LCS 5'!A:A,A526,'LCS 5'!E:E)</f>
        <v>5.97</v>
      </c>
      <c r="W526" s="155">
        <f>SUMIF('USCG Summary'!$A$25:$A$50,A526,'USCG Summary'!$D$25:$D$50)/3.2808^2</f>
        <v>0</v>
      </c>
      <c r="X526" s="153">
        <f>SUMIF('USCG Summary'!$A$25:$A$50,A526,'USCG Summary'!$I$25:$I$50)/3.2808^2</f>
        <v>0</v>
      </c>
      <c r="Y526" s="153">
        <f>SUMIF('USCG Summary'!$A$25:$A$50,A526,'USCG Summary'!$L$25:$L$50)/3.2808^2</f>
        <v>0</v>
      </c>
      <c r="Z526" s="153">
        <f>SUMIF('USCG Summary'!$A$25:$A$50,A526,'USCG Summary'!$O$25:$O$50)/3.2808^2</f>
        <v>0</v>
      </c>
      <c r="AA526" s="153">
        <f>SUMIF('USCG Summary'!$A$25:$A$50,A526,'USCG Summary'!$P$25:$P$50)/3.2808^2</f>
        <v>0</v>
      </c>
      <c r="AB526" s="153">
        <f>SUMIF('USCG Summary'!$A$25:$A$50,A526,'USCG Summary'!$Q$25:$Q$50)/3.2808^2</f>
        <v>0</v>
      </c>
      <c r="AC526" s="153">
        <f>SUMIF('USCG Summary'!$A$25:$A$50,A526,'USCG Summary'!$T$25:$T$50)/3.2808^2</f>
        <v>0</v>
      </c>
      <c r="AD526" s="153">
        <f>SUMIF('USCG Summary'!$A$25:$A$50,A526,'USCG Summary'!$W$25:$W$50)/3.2808^2</f>
        <v>0</v>
      </c>
      <c r="AE526" s="153">
        <f>SUMIF('USCG Summary'!$A$25:$A$50,A526,'USCG Summary'!$Z$25:$Z$50)/3.2808^2</f>
        <v>0</v>
      </c>
      <c r="AF526" s="155">
        <f>SUMIF(Comp!$A$75:$A$400,Areas!A526,Comp!$F$75:$F$400)</f>
        <v>0</v>
      </c>
      <c r="AG526" s="155">
        <f>SUMIF(Comp!$A$75:$A$400,Areas!A526,Comp!$G$75:$G$400)</f>
        <v>0</v>
      </c>
      <c r="AH526" s="155"/>
      <c r="AI526" s="155"/>
      <c r="AK526" s="147"/>
    </row>
    <row r="527" spans="1:37" s="141" customFormat="1">
      <c r="A527" s="144">
        <v>4.3311000000000002</v>
      </c>
      <c r="B527" s="141" t="str">
        <f>Comp!B391</f>
        <v>SHIP SERVICE PWR GEN</v>
      </c>
      <c r="C527" s="145">
        <f>S527</f>
        <v>0</v>
      </c>
      <c r="D527" s="145">
        <f t="shared" si="229"/>
        <v>0</v>
      </c>
      <c r="E527" s="145">
        <f t="shared" si="230"/>
        <v>0</v>
      </c>
      <c r="F527" s="145">
        <f t="shared" si="230"/>
        <v>0</v>
      </c>
      <c r="G527" s="145"/>
      <c r="H527" s="145"/>
      <c r="I527" s="145"/>
      <c r="J527" s="145"/>
      <c r="K527" s="145"/>
      <c r="L527" s="145"/>
      <c r="M527" s="145"/>
      <c r="N527" s="145"/>
      <c r="O527" s="145"/>
      <c r="P527" s="145">
        <f t="shared" si="157"/>
        <v>0</v>
      </c>
      <c r="Q527" s="145">
        <f t="shared" si="157"/>
        <v>0</v>
      </c>
      <c r="S527" s="156">
        <f>SUMIF('Flt III'!D:D,A527,'Flt III'!E:E)/3.2808^2</f>
        <v>0</v>
      </c>
      <c r="T527" s="156">
        <f>SUMIF('Flt IIa'!A:A,A527,'Flt IIa'!E:E)/3.2808^2</f>
        <v>0</v>
      </c>
      <c r="U527" s="156">
        <f>SUMIF('OPC Des'!A:A,A527,'OPC Des'!F:F)/3.2808^2</f>
        <v>0</v>
      </c>
      <c r="V527" s="156">
        <f>SUMIF('LCS 5'!A:A,A527,'LCS 5'!E:E)</f>
        <v>0</v>
      </c>
      <c r="W527" s="156">
        <f>SUMIF('USCG Summary'!$A$25:$A$50,A527,'USCG Summary'!$D$25:$D$50)/3.2808^2</f>
        <v>0</v>
      </c>
      <c r="X527" s="153">
        <f>SUMIF('USCG Summary'!$A$25:$A$50,A527,'USCG Summary'!$I$25:$I$50)/3.2808^2</f>
        <v>0</v>
      </c>
      <c r="Y527" s="153">
        <f>SUMIF('USCG Summary'!$A$25:$A$50,A527,'USCG Summary'!$L$25:$L$50)/3.2808^2</f>
        <v>0</v>
      </c>
      <c r="Z527" s="153">
        <f>SUMIF('USCG Summary'!$A$25:$A$50,A527,'USCG Summary'!$O$25:$O$50)/3.2808^2</f>
        <v>0</v>
      </c>
      <c r="AA527" s="153">
        <f>SUMIF('USCG Summary'!$A$25:$A$50,A527,'USCG Summary'!$P$25:$P$50)/3.2808^2</f>
        <v>0</v>
      </c>
      <c r="AB527" s="153">
        <f>SUMIF('USCG Summary'!$A$25:$A$50,A527,'USCG Summary'!$Q$25:$Q$50)/3.2808^2</f>
        <v>0</v>
      </c>
      <c r="AC527" s="153">
        <f>SUMIF('USCG Summary'!$A$25:$A$50,A527,'USCG Summary'!$T$25:$T$50)/3.2808^2</f>
        <v>0</v>
      </c>
      <c r="AD527" s="153">
        <f>SUMIF('USCG Summary'!$A$25:$A$50,A527,'USCG Summary'!$W$25:$W$50)/3.2808^2</f>
        <v>0</v>
      </c>
      <c r="AE527" s="153">
        <f>SUMIF('USCG Summary'!$A$25:$A$50,A527,'USCG Summary'!$Z$25:$Z$50)/3.2808^2</f>
        <v>0</v>
      </c>
      <c r="AF527" s="156">
        <f>SUMIF(Comp!$A$75:$A$400,Areas!A527,Comp!$F$75:$F$400)</f>
        <v>0</v>
      </c>
      <c r="AG527" s="156">
        <f>SUMIF(Comp!$A$75:$A$400,Areas!A527,Comp!$G$75:$G$400)</f>
        <v>0</v>
      </c>
      <c r="AH527" s="156"/>
      <c r="AI527" s="156"/>
      <c r="AK527" s="145"/>
    </row>
    <row r="528" spans="1:37" s="141" customFormat="1">
      <c r="A528" s="144">
        <v>4.3312999999999997</v>
      </c>
      <c r="B528" s="141" t="str">
        <f>Comp!B392</f>
        <v>BATTERIES</v>
      </c>
      <c r="C528" s="145">
        <f>S528</f>
        <v>0</v>
      </c>
      <c r="D528" s="145">
        <f t="shared" si="229"/>
        <v>0</v>
      </c>
      <c r="E528" s="145">
        <f t="shared" si="230"/>
        <v>0</v>
      </c>
      <c r="F528" s="145">
        <f t="shared" si="230"/>
        <v>0</v>
      </c>
      <c r="G528" s="145"/>
      <c r="H528" s="145"/>
      <c r="I528" s="145"/>
      <c r="J528" s="145"/>
      <c r="K528" s="145"/>
      <c r="L528" s="145"/>
      <c r="M528" s="145"/>
      <c r="N528" s="145"/>
      <c r="O528" s="145"/>
      <c r="P528" s="145">
        <f t="shared" si="157"/>
        <v>0</v>
      </c>
      <c r="Q528" s="145">
        <f t="shared" si="157"/>
        <v>0</v>
      </c>
      <c r="S528" s="156">
        <f>SUMIF('Flt III'!D:D,A528,'Flt III'!E:E)/3.2808^2</f>
        <v>0</v>
      </c>
      <c r="T528" s="156">
        <f>SUMIF('Flt IIa'!A:A,A528,'Flt IIa'!E:E)/3.2808^2</f>
        <v>0</v>
      </c>
      <c r="U528" s="156">
        <f>SUMIF('OPC Des'!A:A,A528,'OPC Des'!F:F)/3.2808^2</f>
        <v>0</v>
      </c>
      <c r="V528" s="156">
        <f>SUMIF('LCS 5'!A:A,A528,'LCS 5'!E:E)</f>
        <v>0</v>
      </c>
      <c r="W528" s="156">
        <f>SUMIF('USCG Summary'!$A$25:$A$50,A528,'USCG Summary'!$D$25:$D$50)/3.2808^2</f>
        <v>0</v>
      </c>
      <c r="X528" s="153">
        <f>SUMIF('USCG Summary'!$A$25:$A$50,A528,'USCG Summary'!$I$25:$I$50)/3.2808^2</f>
        <v>0</v>
      </c>
      <c r="Y528" s="153">
        <f>SUMIF('USCG Summary'!$A$25:$A$50,A528,'USCG Summary'!$L$25:$L$50)/3.2808^2</f>
        <v>0</v>
      </c>
      <c r="Z528" s="153">
        <f>SUMIF('USCG Summary'!$A$25:$A$50,A528,'USCG Summary'!$O$25:$O$50)/3.2808^2</f>
        <v>0</v>
      </c>
      <c r="AA528" s="153">
        <f>SUMIF('USCG Summary'!$A$25:$A$50,A528,'USCG Summary'!$P$25:$P$50)/3.2808^2</f>
        <v>0</v>
      </c>
      <c r="AB528" s="153">
        <f>SUMIF('USCG Summary'!$A$25:$A$50,A528,'USCG Summary'!$Q$25:$Q$50)/3.2808^2</f>
        <v>0</v>
      </c>
      <c r="AC528" s="153">
        <f>SUMIF('USCG Summary'!$A$25:$A$50,A528,'USCG Summary'!$T$25:$T$50)/3.2808^2</f>
        <v>0</v>
      </c>
      <c r="AD528" s="153">
        <f>SUMIF('USCG Summary'!$A$25:$A$50,A528,'USCG Summary'!$W$25:$W$50)/3.2808^2</f>
        <v>0</v>
      </c>
      <c r="AE528" s="153">
        <f>SUMIF('USCG Summary'!$A$25:$A$50,A528,'USCG Summary'!$Z$25:$Z$50)/3.2808^2</f>
        <v>0</v>
      </c>
      <c r="AF528" s="156">
        <f>SUMIF(Comp!$A$75:$A$400,Areas!A528,Comp!$F$75:$F$400)</f>
        <v>0</v>
      </c>
      <c r="AG528" s="156">
        <f>SUMIF(Comp!$A$75:$A$400,Areas!A528,Comp!$G$75:$G$400)</f>
        <v>0</v>
      </c>
      <c r="AH528" s="156"/>
      <c r="AI528" s="156"/>
      <c r="AK528" s="145"/>
    </row>
    <row r="529" spans="1:37" s="141" customFormat="1">
      <c r="A529" s="144">
        <v>4.3314000000000004</v>
      </c>
      <c r="B529" s="141" t="str">
        <f>Comp!B393</f>
        <v>400 HERTZ</v>
      </c>
      <c r="C529" s="145">
        <f>S529</f>
        <v>0</v>
      </c>
      <c r="D529" s="145">
        <f t="shared" si="229"/>
        <v>0</v>
      </c>
      <c r="E529" s="145">
        <f t="shared" si="230"/>
        <v>0</v>
      </c>
      <c r="F529" s="145">
        <f t="shared" si="230"/>
        <v>0</v>
      </c>
      <c r="G529" s="145"/>
      <c r="H529" s="145"/>
      <c r="I529" s="145"/>
      <c r="J529" s="145"/>
      <c r="K529" s="145"/>
      <c r="L529" s="145"/>
      <c r="M529" s="145"/>
      <c r="N529" s="145"/>
      <c r="O529" s="145"/>
      <c r="P529" s="145">
        <f t="shared" si="157"/>
        <v>98.5</v>
      </c>
      <c r="Q529" s="145">
        <f t="shared" si="157"/>
        <v>98.5</v>
      </c>
      <c r="S529" s="156">
        <f>SUMIF('Flt III'!D:D,A529,'Flt III'!E:E)/3.2808^2</f>
        <v>0</v>
      </c>
      <c r="T529" s="156">
        <f>SUMIF('Flt IIa'!A:A,A529,'Flt IIa'!E:E)/3.2808^2</f>
        <v>0</v>
      </c>
      <c r="U529" s="156">
        <f>SUMIF('OPC Des'!A:A,A529,'OPC Des'!F:F)/3.2808^2</f>
        <v>0</v>
      </c>
      <c r="V529" s="156">
        <f>SUMIF('LCS 5'!A:A,A529,'LCS 5'!E:E)</f>
        <v>0</v>
      </c>
      <c r="W529" s="156">
        <f>SUMIF('USCG Summary'!$A$25:$A$50,A529,'USCG Summary'!$D$25:$D$50)/3.2808^2</f>
        <v>0</v>
      </c>
      <c r="X529" s="153">
        <f>SUMIF('USCG Summary'!$A$25:$A$50,A529,'USCG Summary'!$I$25:$I$50)/3.2808^2</f>
        <v>0</v>
      </c>
      <c r="Y529" s="153">
        <f>SUMIF('USCG Summary'!$A$25:$A$50,A529,'USCG Summary'!$L$25:$L$50)/3.2808^2</f>
        <v>0</v>
      </c>
      <c r="Z529" s="153">
        <f>SUMIF('USCG Summary'!$A$25:$A$50,A529,'USCG Summary'!$O$25:$O$50)/3.2808^2</f>
        <v>0</v>
      </c>
      <c r="AA529" s="153">
        <f>SUMIF('USCG Summary'!$A$25:$A$50,A529,'USCG Summary'!$P$25:$P$50)/3.2808^2</f>
        <v>0</v>
      </c>
      <c r="AB529" s="153">
        <f>SUMIF('USCG Summary'!$A$25:$A$50,A529,'USCG Summary'!$Q$25:$Q$50)/3.2808^2</f>
        <v>0</v>
      </c>
      <c r="AC529" s="153">
        <f>SUMIF('USCG Summary'!$A$25:$A$50,A529,'USCG Summary'!$T$25:$T$50)/3.2808^2</f>
        <v>0</v>
      </c>
      <c r="AD529" s="153">
        <f>SUMIF('USCG Summary'!$A$25:$A$50,A529,'USCG Summary'!$W$25:$W$50)/3.2808^2</f>
        <v>0</v>
      </c>
      <c r="AE529" s="153">
        <f>SUMIF('USCG Summary'!$A$25:$A$50,A529,'USCG Summary'!$Z$25:$Z$50)/3.2808^2</f>
        <v>0</v>
      </c>
      <c r="AF529" s="156">
        <f>SUMIF(Comp!$A$75:$A$400,Areas!A529,Comp!$F$75:$F$400)</f>
        <v>98.5</v>
      </c>
      <c r="AG529" s="156">
        <f>SUMIF(Comp!$A$75:$A$400,Areas!A529,Comp!$G$75:$G$400)</f>
        <v>98.5</v>
      </c>
      <c r="AH529" s="156"/>
      <c r="AI529" s="156"/>
      <c r="AK529" s="145"/>
    </row>
    <row r="530" spans="1:37" s="141" customFormat="1">
      <c r="A530" s="144">
        <v>4.3315000000000001</v>
      </c>
      <c r="C530" s="145">
        <f>SUM(C531)</f>
        <v>6.9678974582358713</v>
      </c>
      <c r="D530" s="145">
        <f t="shared" ref="D530:Q530" si="231">SUM(D531)</f>
        <v>0</v>
      </c>
      <c r="E530" s="145">
        <f t="shared" si="231"/>
        <v>0</v>
      </c>
      <c r="F530" s="145">
        <f t="shared" si="231"/>
        <v>2.86</v>
      </c>
      <c r="G530" s="145"/>
      <c r="H530" s="145"/>
      <c r="I530" s="145"/>
      <c r="J530" s="145"/>
      <c r="K530" s="145"/>
      <c r="L530" s="145"/>
      <c r="M530" s="145"/>
      <c r="N530" s="145"/>
      <c r="O530" s="145"/>
      <c r="P530" s="145">
        <f t="shared" si="231"/>
        <v>0</v>
      </c>
      <c r="Q530" s="145">
        <f t="shared" si="231"/>
        <v>0</v>
      </c>
      <c r="S530" s="156">
        <f>SUMIF('Flt III'!D:D,A530,'Flt III'!E:E)/3.2808^2</f>
        <v>0</v>
      </c>
      <c r="T530" s="156">
        <f>SUMIF('Flt IIa'!A:A,A530,'Flt IIa'!E:E)/3.2808^2</f>
        <v>0</v>
      </c>
      <c r="U530" s="156">
        <f>SUMIF('OPC Des'!A:A,A530,'OPC Des'!F:F)/3.2808^2</f>
        <v>0</v>
      </c>
      <c r="V530" s="156">
        <f>SUMIF('LCS 5'!A:A,A530,'LCS 5'!E:E)</f>
        <v>0</v>
      </c>
      <c r="W530" s="156">
        <f>SUMIF('USCG Summary'!$A$25:$A$50,A530,'USCG Summary'!$D$25:$D$50)/3.2808^2</f>
        <v>0</v>
      </c>
      <c r="X530" s="153">
        <f>SUMIF('USCG Summary'!$A$25:$A$50,A530,'USCG Summary'!$I$25:$I$50)/3.2808^2</f>
        <v>0</v>
      </c>
      <c r="Y530" s="153">
        <f>SUMIF('USCG Summary'!$A$25:$A$50,A530,'USCG Summary'!$L$25:$L$50)/3.2808^2</f>
        <v>0</v>
      </c>
      <c r="Z530" s="153">
        <f>SUMIF('USCG Summary'!$A$25:$A$50,A530,'USCG Summary'!$O$25:$O$50)/3.2808^2</f>
        <v>0</v>
      </c>
      <c r="AA530" s="153">
        <f>SUMIF('USCG Summary'!$A$25:$A$50,A530,'USCG Summary'!$P$25:$P$50)/3.2808^2</f>
        <v>0</v>
      </c>
      <c r="AB530" s="153">
        <f>SUMIF('USCG Summary'!$A$25:$A$50,A530,'USCG Summary'!$Q$25:$Q$50)/3.2808^2</f>
        <v>0</v>
      </c>
      <c r="AC530" s="153">
        <f>SUMIF('USCG Summary'!$A$25:$A$50,A530,'USCG Summary'!$T$25:$T$50)/3.2808^2</f>
        <v>0</v>
      </c>
      <c r="AD530" s="153">
        <f>SUMIF('USCG Summary'!$A$25:$A$50,A530,'USCG Summary'!$W$25:$W$50)/3.2808^2</f>
        <v>0</v>
      </c>
      <c r="AE530" s="153">
        <f>SUMIF('USCG Summary'!$A$25:$A$50,A530,'USCG Summary'!$Z$25:$Z$50)/3.2808^2</f>
        <v>0</v>
      </c>
      <c r="AF530" s="156">
        <f>SUMIF(Comp!$A$75:$A$400,Areas!A530,Comp!$F$75:$F$400)</f>
        <v>0</v>
      </c>
      <c r="AG530" s="156">
        <f>SUMIF(Comp!$A$75:$A$400,Areas!A530,Comp!$G$75:$G$400)</f>
        <v>0</v>
      </c>
      <c r="AH530" s="156"/>
      <c r="AI530" s="156"/>
      <c r="AK530" s="145"/>
    </row>
    <row r="531" spans="1:37" s="148" customFormat="1">
      <c r="A531" s="146">
        <v>4.3315010000000003</v>
      </c>
      <c r="B531" s="146"/>
      <c r="C531" s="147">
        <f t="shared" ref="C531" si="232">S531</f>
        <v>6.9678974582358713</v>
      </c>
      <c r="D531" s="147">
        <f t="shared" si="229"/>
        <v>0</v>
      </c>
      <c r="E531" s="147">
        <f t="shared" si="230"/>
        <v>0</v>
      </c>
      <c r="F531" s="147">
        <f t="shared" si="230"/>
        <v>2.86</v>
      </c>
      <c r="G531" s="147"/>
      <c r="H531" s="147"/>
      <c r="I531" s="147"/>
      <c r="J531" s="147"/>
      <c r="K531" s="147"/>
      <c r="L531" s="147"/>
      <c r="M531" s="147"/>
      <c r="N531" s="147"/>
      <c r="O531" s="147"/>
      <c r="P531" s="147">
        <f t="shared" si="157"/>
        <v>0</v>
      </c>
      <c r="Q531" s="147">
        <f t="shared" si="157"/>
        <v>0</v>
      </c>
      <c r="S531" s="155">
        <f>SUMIF('Flt III'!D:D,A531,'Flt III'!E:E)/3.2808^2</f>
        <v>6.9678974582358713</v>
      </c>
      <c r="T531" s="155">
        <f>SUMIF('Flt IIa'!A:A,A531,'Flt IIa'!E:E)/3.2808^2</f>
        <v>0</v>
      </c>
      <c r="U531" s="155">
        <f>SUMIF('OPC Des'!A:A,A531,'OPC Des'!F:F)/3.2808^2</f>
        <v>0</v>
      </c>
      <c r="V531" s="155">
        <f>SUMIF('LCS 5'!A:A,A531,'LCS 5'!E:E)</f>
        <v>2.86</v>
      </c>
      <c r="W531" s="155">
        <f>SUMIF('USCG Summary'!$A$25:$A$50,A531,'USCG Summary'!$D$25:$D$50)/3.2808^2</f>
        <v>0</v>
      </c>
      <c r="X531" s="153">
        <f>SUMIF('USCG Summary'!$A$25:$A$50,A531,'USCG Summary'!$I$25:$I$50)/3.2808^2</f>
        <v>0</v>
      </c>
      <c r="Y531" s="153">
        <f>SUMIF('USCG Summary'!$A$25:$A$50,A531,'USCG Summary'!$L$25:$L$50)/3.2808^2</f>
        <v>0</v>
      </c>
      <c r="Z531" s="153">
        <f>SUMIF('USCG Summary'!$A$25:$A$50,A531,'USCG Summary'!$O$25:$O$50)/3.2808^2</f>
        <v>0</v>
      </c>
      <c r="AA531" s="153">
        <f>SUMIF('USCG Summary'!$A$25:$A$50,A531,'USCG Summary'!$P$25:$P$50)/3.2808^2</f>
        <v>0</v>
      </c>
      <c r="AB531" s="153">
        <f>SUMIF('USCG Summary'!$A$25:$A$50,A531,'USCG Summary'!$Q$25:$Q$50)/3.2808^2</f>
        <v>0</v>
      </c>
      <c r="AC531" s="153">
        <f>SUMIF('USCG Summary'!$A$25:$A$50,A531,'USCG Summary'!$T$25:$T$50)/3.2808^2</f>
        <v>0</v>
      </c>
      <c r="AD531" s="153">
        <f>SUMIF('USCG Summary'!$A$25:$A$50,A531,'USCG Summary'!$W$25:$W$50)/3.2808^2</f>
        <v>0</v>
      </c>
      <c r="AE531" s="153">
        <f>SUMIF('USCG Summary'!$A$25:$A$50,A531,'USCG Summary'!$Z$25:$Z$50)/3.2808^2</f>
        <v>0</v>
      </c>
      <c r="AF531" s="155">
        <f>SUMIF(Comp!$A$75:$A$400,Areas!A531,Comp!$F$75:$F$400)</f>
        <v>0</v>
      </c>
      <c r="AG531" s="155">
        <f>SUMIF(Comp!$A$75:$A$400,Areas!A531,Comp!$G$75:$G$400)</f>
        <v>0</v>
      </c>
      <c r="AH531" s="155"/>
      <c r="AI531" s="155"/>
      <c r="AK531" s="147"/>
    </row>
    <row r="532" spans="1:37" s="132" customFormat="1">
      <c r="A532" s="142">
        <v>4.3319999999999999</v>
      </c>
      <c r="B532" s="132" t="str">
        <f>Comp!B394</f>
        <v>PWR DIST &amp; CNTRL</v>
      </c>
      <c r="C532" s="143">
        <f>SUM(C533:C534)</f>
        <v>81.570852911081275</v>
      </c>
      <c r="D532" s="143">
        <f>T532</f>
        <v>65.591141406860331</v>
      </c>
      <c r="E532" s="143">
        <f>U532</f>
        <v>8.3614769498830448</v>
      </c>
      <c r="F532" s="143">
        <f>V532</f>
        <v>0</v>
      </c>
      <c r="G532" s="143"/>
      <c r="H532" s="143"/>
      <c r="I532" s="143"/>
      <c r="J532" s="143"/>
      <c r="K532" s="143"/>
      <c r="L532" s="143"/>
      <c r="M532" s="143"/>
      <c r="N532" s="143"/>
      <c r="O532" s="143"/>
      <c r="P532" s="143">
        <f t="shared" si="157"/>
        <v>77</v>
      </c>
      <c r="Q532" s="143">
        <f t="shared" si="157"/>
        <v>79.3</v>
      </c>
      <c r="S532" s="154">
        <f>SUMIF('Flt III'!D:D,A532,'Flt III'!E:E)/3.2808^2</f>
        <v>0</v>
      </c>
      <c r="T532" s="154">
        <f>SUMIF('Flt IIa'!A:A,A532,'Flt IIa'!E:E)/3.2808^2</f>
        <v>65.591141406860331</v>
      </c>
      <c r="U532" s="154">
        <f>SUMIF('OPC Des'!A:A,A532,'OPC Des'!F:F)/3.2808^2</f>
        <v>8.3614769498830448</v>
      </c>
      <c r="V532" s="154">
        <f>SUMIF('LCS 5'!A:A,A532,'LCS 5'!E:E)</f>
        <v>0</v>
      </c>
      <c r="W532" s="154">
        <f>SUMIF('USCG Summary'!$A$25:$A$50,A532,'USCG Summary'!$D$25:$D$50)/3.2808^2</f>
        <v>0</v>
      </c>
      <c r="X532" s="153">
        <f>SUMIF('USCG Summary'!$A$25:$A$50,A532,'USCG Summary'!$I$25:$I$50)/3.2808^2</f>
        <v>0</v>
      </c>
      <c r="Y532" s="153">
        <f>SUMIF('USCG Summary'!$A$25:$A$50,A532,'USCG Summary'!$L$25:$L$50)/3.2808^2</f>
        <v>0</v>
      </c>
      <c r="Z532" s="153">
        <f>SUMIF('USCG Summary'!$A$25:$A$50,A532,'USCG Summary'!$O$25:$O$50)/3.2808^2</f>
        <v>0</v>
      </c>
      <c r="AA532" s="153">
        <f>SUMIF('USCG Summary'!$A$25:$A$50,A532,'USCG Summary'!$P$25:$P$50)/3.2808^2</f>
        <v>0</v>
      </c>
      <c r="AB532" s="153">
        <f>SUMIF('USCG Summary'!$A$25:$A$50,A532,'USCG Summary'!$Q$25:$Q$50)/3.2808^2</f>
        <v>0</v>
      </c>
      <c r="AC532" s="153">
        <f>SUMIF('USCG Summary'!$A$25:$A$50,A532,'USCG Summary'!$T$25:$T$50)/3.2808^2</f>
        <v>0</v>
      </c>
      <c r="AD532" s="153">
        <f>SUMIF('USCG Summary'!$A$25:$A$50,A532,'USCG Summary'!$W$25:$W$50)/3.2808^2</f>
        <v>0</v>
      </c>
      <c r="AE532" s="153">
        <f>SUMIF('USCG Summary'!$A$25:$A$50,A532,'USCG Summary'!$Z$25:$Z$50)/3.2808^2</f>
        <v>0</v>
      </c>
      <c r="AF532" s="154">
        <f>SUMIF(Comp!$A$75:$A$400,Areas!A532,Comp!$F$75:$F$400)</f>
        <v>77</v>
      </c>
      <c r="AG532" s="154">
        <f>SUMIF(Comp!$A$75:$A$400,Areas!A532,Comp!$G$75:$G$400)</f>
        <v>79.3</v>
      </c>
      <c r="AH532" s="154"/>
      <c r="AI532" s="154"/>
      <c r="AK532" s="143"/>
    </row>
    <row r="533" spans="1:37" s="148" customFormat="1">
      <c r="A533" s="146" t="s">
        <v>414</v>
      </c>
      <c r="C533" s="147">
        <f t="shared" ref="C533:C534" si="233">S533</f>
        <v>65.126614909644616</v>
      </c>
      <c r="D533" s="147">
        <f t="shared" ref="D533:D534" si="234">T533</f>
        <v>0</v>
      </c>
      <c r="E533" s="147">
        <f t="shared" ref="E533:F534" si="235">U533</f>
        <v>0</v>
      </c>
      <c r="F533" s="147">
        <f t="shared" si="235"/>
        <v>0</v>
      </c>
      <c r="G533" s="147"/>
      <c r="H533" s="147"/>
      <c r="I533" s="147"/>
      <c r="J533" s="147"/>
      <c r="K533" s="147"/>
      <c r="L533" s="147"/>
      <c r="M533" s="147"/>
      <c r="N533" s="147"/>
      <c r="O533" s="147"/>
      <c r="P533" s="147">
        <f t="shared" si="157"/>
        <v>0</v>
      </c>
      <c r="Q533" s="147">
        <f t="shared" si="157"/>
        <v>0</v>
      </c>
      <c r="S533" s="155">
        <f>SUMIF('Flt III'!D:D,A533,'Flt III'!E:E)/3.2808^2</f>
        <v>65.126614909644616</v>
      </c>
      <c r="T533" s="155">
        <f>SUMIF('Flt IIa'!A:A,A533,'Flt IIa'!E:E)/3.2808^2</f>
        <v>0</v>
      </c>
      <c r="U533" s="155">
        <f>SUMIF('OPC Des'!A:A,A533,'OPC Des'!F:F)/3.2808^2</f>
        <v>0</v>
      </c>
      <c r="V533" s="155">
        <f>SUMIF('LCS 5'!A:A,A533,'LCS 5'!E:E)</f>
        <v>0</v>
      </c>
      <c r="W533" s="155">
        <f>SUMIF('USCG Summary'!$A$25:$A$50,A533,'USCG Summary'!$D$25:$D$50)/3.2808^2</f>
        <v>0</v>
      </c>
      <c r="X533" s="153">
        <f>SUMIF('USCG Summary'!$A$25:$A$50,A533,'USCG Summary'!$I$25:$I$50)/3.2808^2</f>
        <v>0</v>
      </c>
      <c r="Y533" s="153">
        <f>SUMIF('USCG Summary'!$A$25:$A$50,A533,'USCG Summary'!$L$25:$L$50)/3.2808^2</f>
        <v>0</v>
      </c>
      <c r="Z533" s="153">
        <f>SUMIF('USCG Summary'!$A$25:$A$50,A533,'USCG Summary'!$O$25:$O$50)/3.2808^2</f>
        <v>0</v>
      </c>
      <c r="AA533" s="153">
        <f>SUMIF('USCG Summary'!$A$25:$A$50,A533,'USCG Summary'!$P$25:$P$50)/3.2808^2</f>
        <v>0</v>
      </c>
      <c r="AB533" s="153">
        <f>SUMIF('USCG Summary'!$A$25:$A$50,A533,'USCG Summary'!$Q$25:$Q$50)/3.2808^2</f>
        <v>0</v>
      </c>
      <c r="AC533" s="153">
        <f>SUMIF('USCG Summary'!$A$25:$A$50,A533,'USCG Summary'!$T$25:$T$50)/3.2808^2</f>
        <v>0</v>
      </c>
      <c r="AD533" s="153">
        <f>SUMIF('USCG Summary'!$A$25:$A$50,A533,'USCG Summary'!$W$25:$W$50)/3.2808^2</f>
        <v>0</v>
      </c>
      <c r="AE533" s="153">
        <f>SUMIF('USCG Summary'!$A$25:$A$50,A533,'USCG Summary'!$Z$25:$Z$50)/3.2808^2</f>
        <v>0</v>
      </c>
      <c r="AF533" s="155">
        <f>SUMIF(Comp!$A$75:$A$400,Areas!A533,Comp!$F$75:$F$400)</f>
        <v>0</v>
      </c>
      <c r="AG533" s="155">
        <f>SUMIF(Comp!$A$75:$A$400,Areas!A533,Comp!$G$75:$G$400)</f>
        <v>0</v>
      </c>
      <c r="AH533" s="155"/>
      <c r="AI533" s="155"/>
      <c r="AK533" s="147"/>
    </row>
    <row r="534" spans="1:37" s="148" customFormat="1">
      <c r="A534" s="146" t="s">
        <v>409</v>
      </c>
      <c r="C534" s="147">
        <f t="shared" si="233"/>
        <v>16.444238001436656</v>
      </c>
      <c r="D534" s="147">
        <f t="shared" si="234"/>
        <v>0</v>
      </c>
      <c r="E534" s="147">
        <f t="shared" si="235"/>
        <v>0</v>
      </c>
      <c r="F534" s="147">
        <f t="shared" si="235"/>
        <v>0</v>
      </c>
      <c r="G534" s="147"/>
      <c r="H534" s="147"/>
      <c r="I534" s="147"/>
      <c r="J534" s="147"/>
      <c r="K534" s="147"/>
      <c r="L534" s="147"/>
      <c r="M534" s="147"/>
      <c r="N534" s="147"/>
      <c r="O534" s="147"/>
      <c r="P534" s="147">
        <f t="shared" si="157"/>
        <v>0</v>
      </c>
      <c r="Q534" s="147">
        <f t="shared" si="157"/>
        <v>0</v>
      </c>
      <c r="S534" s="155">
        <f>SUMIF('Flt III'!D:D,A534,'Flt III'!E:E)/3.2808^2</f>
        <v>16.444238001436656</v>
      </c>
      <c r="T534" s="155">
        <f>SUMIF('Flt IIa'!A:A,A534,'Flt IIa'!E:E)/3.2808^2</f>
        <v>0</v>
      </c>
      <c r="U534" s="155">
        <f>SUMIF('OPC Des'!A:A,A534,'OPC Des'!F:F)/3.2808^2</f>
        <v>0</v>
      </c>
      <c r="V534" s="155">
        <f>SUMIF('LCS 5'!A:A,A534,'LCS 5'!E:E)</f>
        <v>0</v>
      </c>
      <c r="W534" s="155">
        <f>SUMIF('USCG Summary'!$A$25:$A$50,A534,'USCG Summary'!$D$25:$D$50)/3.2808^2</f>
        <v>0</v>
      </c>
      <c r="X534" s="153">
        <f>SUMIF('USCG Summary'!$A$25:$A$50,A534,'USCG Summary'!$I$25:$I$50)/3.2808^2</f>
        <v>0</v>
      </c>
      <c r="Y534" s="153">
        <f>SUMIF('USCG Summary'!$A$25:$A$50,A534,'USCG Summary'!$L$25:$L$50)/3.2808^2</f>
        <v>0</v>
      </c>
      <c r="Z534" s="153">
        <f>SUMIF('USCG Summary'!$A$25:$A$50,A534,'USCG Summary'!$O$25:$O$50)/3.2808^2</f>
        <v>0</v>
      </c>
      <c r="AA534" s="153">
        <f>SUMIF('USCG Summary'!$A$25:$A$50,A534,'USCG Summary'!$P$25:$P$50)/3.2808^2</f>
        <v>0</v>
      </c>
      <c r="AB534" s="153">
        <f>SUMIF('USCG Summary'!$A$25:$A$50,A534,'USCG Summary'!$Q$25:$Q$50)/3.2808^2</f>
        <v>0</v>
      </c>
      <c r="AC534" s="153">
        <f>SUMIF('USCG Summary'!$A$25:$A$50,A534,'USCG Summary'!$T$25:$T$50)/3.2808^2</f>
        <v>0</v>
      </c>
      <c r="AD534" s="153">
        <f>SUMIF('USCG Summary'!$A$25:$A$50,A534,'USCG Summary'!$W$25:$W$50)/3.2808^2</f>
        <v>0</v>
      </c>
      <c r="AE534" s="153">
        <f>SUMIF('USCG Summary'!$A$25:$A$50,A534,'USCG Summary'!$Z$25:$Z$50)/3.2808^2</f>
        <v>0</v>
      </c>
      <c r="AF534" s="155">
        <f>SUMIF(Comp!$A$75:$A$400,Areas!A534,Comp!$F$75:$F$400)</f>
        <v>0</v>
      </c>
      <c r="AG534" s="155">
        <f>SUMIF(Comp!$A$75:$A$400,Areas!A534,Comp!$G$75:$G$400)</f>
        <v>0</v>
      </c>
      <c r="AH534" s="155"/>
      <c r="AI534" s="155"/>
      <c r="AK534" s="147"/>
    </row>
    <row r="535" spans="1:37" s="132" customFormat="1">
      <c r="A535" s="142">
        <v>4.3339999999999996</v>
      </c>
      <c r="B535" s="132" t="str">
        <f>Comp!B395</f>
        <v>DEGAUSSING</v>
      </c>
      <c r="C535" s="143">
        <f>SUM(C536)</f>
        <v>8.8260034470987705</v>
      </c>
      <c r="D535" s="143">
        <f>T535</f>
        <v>8.8260034470987705</v>
      </c>
      <c r="E535" s="143">
        <f t="shared" ref="E535:F535" si="236">SUM(E536)</f>
        <v>0</v>
      </c>
      <c r="F535" s="143">
        <f t="shared" si="236"/>
        <v>0</v>
      </c>
      <c r="G535" s="143"/>
      <c r="H535" s="143"/>
      <c r="I535" s="143"/>
      <c r="J535" s="143"/>
      <c r="K535" s="143"/>
      <c r="L535" s="143"/>
      <c r="M535" s="143"/>
      <c r="N535" s="143"/>
      <c r="O535" s="143"/>
      <c r="P535" s="143">
        <f t="shared" si="157"/>
        <v>19</v>
      </c>
      <c r="Q535" s="143">
        <f t="shared" si="157"/>
        <v>19</v>
      </c>
      <c r="S535" s="154">
        <f>SUMIF('Flt III'!D:D,A535,'Flt III'!E:E)/3.2808^2</f>
        <v>0</v>
      </c>
      <c r="T535" s="154">
        <f>SUMIF('Flt IIa'!A:A,A535,'Flt IIa'!E:E)/3.2808^2</f>
        <v>8.8260034470987705</v>
      </c>
      <c r="U535" s="154">
        <f>SUMIF('OPC Des'!A:A,A535,'OPC Des'!F:F)/3.2808^2</f>
        <v>0</v>
      </c>
      <c r="V535" s="154">
        <f>SUMIF('LCS 5'!A:A,A535,'LCS 5'!E:E)</f>
        <v>0</v>
      </c>
      <c r="W535" s="154">
        <f>SUMIF('USCG Summary'!$A$25:$A$50,A535,'USCG Summary'!$D$25:$D$50)/3.2808^2</f>
        <v>0</v>
      </c>
      <c r="X535" s="153">
        <f>SUMIF('USCG Summary'!$A$25:$A$50,A535,'USCG Summary'!$I$25:$I$50)/3.2808^2</f>
        <v>0</v>
      </c>
      <c r="Y535" s="153">
        <f>SUMIF('USCG Summary'!$A$25:$A$50,A535,'USCG Summary'!$L$25:$L$50)/3.2808^2</f>
        <v>0</v>
      </c>
      <c r="Z535" s="153">
        <f>SUMIF('USCG Summary'!$A$25:$A$50,A535,'USCG Summary'!$O$25:$O$50)/3.2808^2</f>
        <v>0</v>
      </c>
      <c r="AA535" s="153">
        <f>SUMIF('USCG Summary'!$A$25:$A$50,A535,'USCG Summary'!$P$25:$P$50)/3.2808^2</f>
        <v>0</v>
      </c>
      <c r="AB535" s="153">
        <f>SUMIF('USCG Summary'!$A$25:$A$50,A535,'USCG Summary'!$Q$25:$Q$50)/3.2808^2</f>
        <v>0</v>
      </c>
      <c r="AC535" s="153">
        <f>SUMIF('USCG Summary'!$A$25:$A$50,A535,'USCG Summary'!$T$25:$T$50)/3.2808^2</f>
        <v>0</v>
      </c>
      <c r="AD535" s="153">
        <f>SUMIF('USCG Summary'!$A$25:$A$50,A535,'USCG Summary'!$W$25:$W$50)/3.2808^2</f>
        <v>0</v>
      </c>
      <c r="AE535" s="153">
        <f>SUMIF('USCG Summary'!$A$25:$A$50,A535,'USCG Summary'!$Z$25:$Z$50)/3.2808^2</f>
        <v>0</v>
      </c>
      <c r="AF535" s="154">
        <f>SUMIF(Comp!$A$75:$A$400,Areas!A535,Comp!$F$75:$F$400)</f>
        <v>19</v>
      </c>
      <c r="AG535" s="154">
        <f>SUMIF(Comp!$A$75:$A$400,Areas!A535,Comp!$G$75:$G$400)</f>
        <v>19</v>
      </c>
      <c r="AH535" s="154"/>
      <c r="AI535" s="154"/>
      <c r="AK535" s="143"/>
    </row>
    <row r="536" spans="1:37" s="148" customFormat="1">
      <c r="A536" s="146" t="s">
        <v>406</v>
      </c>
      <c r="B536" s="146"/>
      <c r="C536" s="147">
        <f t="shared" ref="C536" si="237">S536</f>
        <v>8.8260034470987705</v>
      </c>
      <c r="D536" s="147">
        <f t="shared" ref="D536" si="238">T536</f>
        <v>0</v>
      </c>
      <c r="E536" s="147">
        <f t="shared" ref="E536:F536" si="239">U536</f>
        <v>0</v>
      </c>
      <c r="F536" s="147">
        <f t="shared" si="239"/>
        <v>0</v>
      </c>
      <c r="G536" s="147"/>
      <c r="H536" s="147"/>
      <c r="I536" s="147"/>
      <c r="J536" s="147"/>
      <c r="K536" s="147"/>
      <c r="L536" s="147"/>
      <c r="M536" s="147"/>
      <c r="N536" s="147"/>
      <c r="O536" s="147"/>
      <c r="P536" s="147">
        <f t="shared" si="157"/>
        <v>0</v>
      </c>
      <c r="Q536" s="147">
        <f t="shared" si="157"/>
        <v>0</v>
      </c>
      <c r="S536" s="155">
        <f>SUMIF('Flt III'!D:D,A536,'Flt III'!E:E)/3.2808^2</f>
        <v>8.8260034470987705</v>
      </c>
      <c r="T536" s="155">
        <f>SUMIF('Flt IIa'!A:A,A536,'Flt IIa'!E:E)/3.2808^2</f>
        <v>0</v>
      </c>
      <c r="U536" s="155">
        <f>SUMIF('OPC Des'!A:A,A536,'OPC Des'!F:F)/3.2808^2</f>
        <v>0</v>
      </c>
      <c r="V536" s="155">
        <f>SUMIF('LCS 5'!A:A,A536,'LCS 5'!E:E)</f>
        <v>0</v>
      </c>
      <c r="W536" s="155">
        <f>SUMIF('USCG Summary'!$A$25:$A$50,A536,'USCG Summary'!$D$25:$D$50)/3.2808^2</f>
        <v>0</v>
      </c>
      <c r="X536" s="153">
        <f>SUMIF('USCG Summary'!$A$25:$A$50,A536,'USCG Summary'!$I$25:$I$50)/3.2808^2</f>
        <v>0</v>
      </c>
      <c r="Y536" s="153">
        <f>SUMIF('USCG Summary'!$A$25:$A$50,A536,'USCG Summary'!$L$25:$L$50)/3.2808^2</f>
        <v>0</v>
      </c>
      <c r="Z536" s="153">
        <f>SUMIF('USCG Summary'!$A$25:$A$50,A536,'USCG Summary'!$O$25:$O$50)/3.2808^2</f>
        <v>0</v>
      </c>
      <c r="AA536" s="153">
        <f>SUMIF('USCG Summary'!$A$25:$A$50,A536,'USCG Summary'!$P$25:$P$50)/3.2808^2</f>
        <v>0</v>
      </c>
      <c r="AB536" s="153">
        <f>SUMIF('USCG Summary'!$A$25:$A$50,A536,'USCG Summary'!$Q$25:$Q$50)/3.2808^2</f>
        <v>0</v>
      </c>
      <c r="AC536" s="153">
        <f>SUMIF('USCG Summary'!$A$25:$A$50,A536,'USCG Summary'!$T$25:$T$50)/3.2808^2</f>
        <v>0</v>
      </c>
      <c r="AD536" s="153">
        <f>SUMIF('USCG Summary'!$A$25:$A$50,A536,'USCG Summary'!$W$25:$W$50)/3.2808^2</f>
        <v>0</v>
      </c>
      <c r="AE536" s="153">
        <f>SUMIF('USCG Summary'!$A$25:$A$50,A536,'USCG Summary'!$Z$25:$Z$50)/3.2808^2</f>
        <v>0</v>
      </c>
      <c r="AF536" s="155">
        <f>SUMIF(Comp!$A$75:$A$400,Areas!A536,Comp!$F$75:$F$400)</f>
        <v>0</v>
      </c>
      <c r="AG536" s="155">
        <f>SUMIF(Comp!$A$75:$A$400,Areas!A536,Comp!$G$75:$G$400)</f>
        <v>0</v>
      </c>
      <c r="AH536" s="155"/>
      <c r="AI536" s="155"/>
      <c r="AK536" s="147"/>
    </row>
    <row r="537" spans="1:37" s="134" customFormat="1">
      <c r="A537" s="140">
        <v>4.34</v>
      </c>
      <c r="B537" s="134" t="str">
        <f>Comp!B396</f>
        <v>POLLUTION CONTROL SYSTEMS</v>
      </c>
      <c r="C537" s="149">
        <f>C538+C539</f>
        <v>26.756726239625745</v>
      </c>
      <c r="D537" s="149">
        <f t="shared" ref="D537:F537" si="240">D538+D539</f>
        <v>26.756726239625745</v>
      </c>
      <c r="E537" s="149">
        <f t="shared" si="240"/>
        <v>12.356404825938277</v>
      </c>
      <c r="F537" s="149">
        <f t="shared" si="240"/>
        <v>0</v>
      </c>
      <c r="G537" s="149"/>
      <c r="H537" s="149"/>
      <c r="I537" s="149"/>
      <c r="J537" s="149"/>
      <c r="K537" s="149"/>
      <c r="L537" s="149"/>
      <c r="M537" s="149"/>
      <c r="N537" s="149"/>
      <c r="O537" s="149"/>
      <c r="P537" s="149">
        <f t="shared" si="157"/>
        <v>27.2</v>
      </c>
      <c r="Q537" s="149">
        <f t="shared" si="157"/>
        <v>27.2</v>
      </c>
      <c r="S537" s="153">
        <f>SUMIF('Flt III'!D:D,A537,'Flt III'!E:E)/3.2808^2</f>
        <v>0</v>
      </c>
      <c r="T537" s="153">
        <f>SUMIF('Flt IIa'!A:A,A537,'Flt IIa'!E:E)/3.2808^2</f>
        <v>0</v>
      </c>
      <c r="U537" s="153">
        <f>SUMIF('OPC Des'!A:A,A537,'OPC Des'!F:F)/3.2808^2</f>
        <v>0</v>
      </c>
      <c r="V537" s="153">
        <f>SUMIF('LCS 5'!A:A,A537,'LCS 5'!E:E)</f>
        <v>0</v>
      </c>
      <c r="W537" s="153">
        <f>SUMIF('USCG Summary'!$A$25:$A$50,A537,'USCG Summary'!$D$25:$D$50)/3.2808^2</f>
        <v>0</v>
      </c>
      <c r="X537" s="153">
        <f>SUMIF('USCG Summary'!$A$25:$A$50,A537,'USCG Summary'!$I$25:$I$50)/3.2808^2</f>
        <v>0</v>
      </c>
      <c r="Y537" s="153">
        <f>SUMIF('USCG Summary'!$A$25:$A$50,A537,'USCG Summary'!$L$25:$L$50)/3.2808^2</f>
        <v>0</v>
      </c>
      <c r="Z537" s="153">
        <f>SUMIF('USCG Summary'!$A$25:$A$50,A537,'USCG Summary'!$O$25:$O$50)/3.2808^2</f>
        <v>0</v>
      </c>
      <c r="AA537" s="153">
        <f>SUMIF('USCG Summary'!$A$25:$A$50,A537,'USCG Summary'!$P$25:$P$50)/3.2808^2</f>
        <v>0</v>
      </c>
      <c r="AB537" s="153">
        <f>SUMIF('USCG Summary'!$A$25:$A$50,A537,'USCG Summary'!$Q$25:$Q$50)/3.2808^2</f>
        <v>0</v>
      </c>
      <c r="AC537" s="153">
        <f>SUMIF('USCG Summary'!$A$25:$A$50,A537,'USCG Summary'!$T$25:$T$50)/3.2808^2</f>
        <v>0</v>
      </c>
      <c r="AD537" s="153">
        <f>SUMIF('USCG Summary'!$A$25:$A$50,A537,'USCG Summary'!$W$25:$W$50)/3.2808^2</f>
        <v>0</v>
      </c>
      <c r="AE537" s="153">
        <f>SUMIF('USCG Summary'!$A$25:$A$50,A537,'USCG Summary'!$Z$25:$Z$50)/3.2808^2</f>
        <v>0</v>
      </c>
      <c r="AF537" s="153">
        <f>SUMIF(Comp!$A$75:$A$400,Areas!A537,Comp!$F$75:$F$400)</f>
        <v>27.2</v>
      </c>
      <c r="AG537" s="153">
        <f>SUMIF(Comp!$A$75:$A$400,Areas!A537,Comp!$G$75:$G$400)</f>
        <v>27.2</v>
      </c>
      <c r="AH537" s="153"/>
      <c r="AI537" s="153"/>
      <c r="AK537" s="133"/>
    </row>
    <row r="538" spans="1:37" s="132" customFormat="1">
      <c r="A538" s="142">
        <v>4.3410000000000002</v>
      </c>
      <c r="B538" s="132" t="str">
        <f>Comp!B397</f>
        <v>SEWAGE</v>
      </c>
      <c r="C538" s="143">
        <f t="shared" ref="C538" si="241">S538</f>
        <v>0</v>
      </c>
      <c r="D538" s="143">
        <f t="shared" ref="D538" si="242">T538</f>
        <v>0</v>
      </c>
      <c r="E538" s="143">
        <f t="shared" ref="E538:F538" si="243">U538</f>
        <v>0</v>
      </c>
      <c r="F538" s="143">
        <f t="shared" si="243"/>
        <v>0</v>
      </c>
      <c r="G538" s="143"/>
      <c r="H538" s="143"/>
      <c r="I538" s="143"/>
      <c r="J538" s="143"/>
      <c r="K538" s="143"/>
      <c r="L538" s="143"/>
      <c r="M538" s="143"/>
      <c r="N538" s="143"/>
      <c r="O538" s="143"/>
      <c r="P538" s="143">
        <f t="shared" si="157"/>
        <v>18.100000000000001</v>
      </c>
      <c r="Q538" s="143">
        <f t="shared" si="157"/>
        <v>18.100000000000001</v>
      </c>
      <c r="S538" s="154">
        <f>SUMIF('Flt III'!D:D,A538,'Flt III'!E:E)/3.2808^2</f>
        <v>0</v>
      </c>
      <c r="T538" s="154">
        <f>SUMIF('Flt IIa'!A:A,A538,'Flt IIa'!E:E)/3.2808^2</f>
        <v>0</v>
      </c>
      <c r="U538" s="154">
        <f>SUMIF('OPC Des'!A:A,A538,'OPC Des'!F:F)/3.2808^2</f>
        <v>0</v>
      </c>
      <c r="V538" s="154">
        <f>SUMIF('LCS 5'!A:A,A538,'LCS 5'!E:E)</f>
        <v>0</v>
      </c>
      <c r="W538" s="154">
        <f>SUMIF('USCG Summary'!$A$25:$A$50,A538,'USCG Summary'!$D$25:$D$50)/3.2808^2</f>
        <v>0</v>
      </c>
      <c r="X538" s="153">
        <f>SUMIF('USCG Summary'!$A$25:$A$50,A538,'USCG Summary'!$I$25:$I$50)/3.2808^2</f>
        <v>0</v>
      </c>
      <c r="Y538" s="153">
        <f>SUMIF('USCG Summary'!$A$25:$A$50,A538,'USCG Summary'!$L$25:$L$50)/3.2808^2</f>
        <v>0</v>
      </c>
      <c r="Z538" s="153">
        <f>SUMIF('USCG Summary'!$A$25:$A$50,A538,'USCG Summary'!$O$25:$O$50)/3.2808^2</f>
        <v>0</v>
      </c>
      <c r="AA538" s="153">
        <f>SUMIF('USCG Summary'!$A$25:$A$50,A538,'USCG Summary'!$P$25:$P$50)/3.2808^2</f>
        <v>0</v>
      </c>
      <c r="AB538" s="153">
        <f>SUMIF('USCG Summary'!$A$25:$A$50,A538,'USCG Summary'!$Q$25:$Q$50)/3.2808^2</f>
        <v>0</v>
      </c>
      <c r="AC538" s="153">
        <f>SUMIF('USCG Summary'!$A$25:$A$50,A538,'USCG Summary'!$T$25:$T$50)/3.2808^2</f>
        <v>0</v>
      </c>
      <c r="AD538" s="153">
        <f>SUMIF('USCG Summary'!$A$25:$A$50,A538,'USCG Summary'!$W$25:$W$50)/3.2808^2</f>
        <v>0</v>
      </c>
      <c r="AE538" s="153">
        <f>SUMIF('USCG Summary'!$A$25:$A$50,A538,'USCG Summary'!$Z$25:$Z$50)/3.2808^2</f>
        <v>0</v>
      </c>
      <c r="AF538" s="154">
        <f>SUMIF(Comp!$A$75:$A$400,Areas!A538,Comp!$F$75:$F$400)</f>
        <v>18.100000000000001</v>
      </c>
      <c r="AG538" s="154">
        <f>SUMIF(Comp!$A$75:$A$400,Areas!A538,Comp!$G$75:$G$400)</f>
        <v>18.100000000000001</v>
      </c>
      <c r="AH538" s="154"/>
      <c r="AI538" s="154"/>
      <c r="AK538" s="143"/>
    </row>
    <row r="539" spans="1:37" s="132" customFormat="1">
      <c r="A539" s="142">
        <v>4.3419999999999996</v>
      </c>
      <c r="B539" s="132" t="str">
        <f>Comp!B398</f>
        <v>TRASH</v>
      </c>
      <c r="C539" s="143">
        <f>SUM(C540)</f>
        <v>26.756726239625745</v>
      </c>
      <c r="D539" s="143">
        <f>T539</f>
        <v>26.756726239625745</v>
      </c>
      <c r="E539" s="143">
        <f t="shared" ref="E539:F539" si="244">SUM(E540)</f>
        <v>12.356404825938277</v>
      </c>
      <c r="F539" s="143">
        <f t="shared" si="244"/>
        <v>0</v>
      </c>
      <c r="G539" s="143"/>
      <c r="H539" s="143"/>
      <c r="I539" s="143"/>
      <c r="J539" s="143"/>
      <c r="K539" s="143"/>
      <c r="L539" s="143"/>
      <c r="M539" s="143"/>
      <c r="N539" s="143"/>
      <c r="O539" s="143"/>
      <c r="P539" s="143">
        <f t="shared" si="157"/>
        <v>9.1</v>
      </c>
      <c r="Q539" s="143">
        <f t="shared" si="157"/>
        <v>9.1</v>
      </c>
      <c r="S539" s="154">
        <f>SUMIF('Flt III'!D:D,A539,'Flt III'!E:E)/3.2808^2</f>
        <v>0</v>
      </c>
      <c r="T539" s="154">
        <f>SUMIF('Flt IIa'!A:A,A539,'Flt IIa'!E:E)/3.2808^2</f>
        <v>26.756726239625745</v>
      </c>
      <c r="U539" s="154">
        <f>SUMIF('OPC Des'!A:A,A539,'OPC Des'!F:F)/3.2808^2</f>
        <v>0</v>
      </c>
      <c r="V539" s="154">
        <f>SUMIF('LCS 5'!A:A,A539,'LCS 5'!E:E)</f>
        <v>0</v>
      </c>
      <c r="W539" s="154">
        <f>SUMIF('USCG Summary'!$A$25:$A$50,A539,'USCG Summary'!$D$25:$D$50)/3.2808^2</f>
        <v>0</v>
      </c>
      <c r="X539" s="153">
        <f>SUMIF('USCG Summary'!$A$25:$A$50,A539,'USCG Summary'!$I$25:$I$50)/3.2808^2</f>
        <v>0</v>
      </c>
      <c r="Y539" s="153">
        <f>SUMIF('USCG Summary'!$A$25:$A$50,A539,'USCG Summary'!$L$25:$L$50)/3.2808^2</f>
        <v>0</v>
      </c>
      <c r="Z539" s="153">
        <f>SUMIF('USCG Summary'!$A$25:$A$50,A539,'USCG Summary'!$O$25:$O$50)/3.2808^2</f>
        <v>0</v>
      </c>
      <c r="AA539" s="153">
        <f>SUMIF('USCG Summary'!$A$25:$A$50,A539,'USCG Summary'!$P$25:$P$50)/3.2808^2</f>
        <v>0</v>
      </c>
      <c r="AB539" s="153">
        <f>SUMIF('USCG Summary'!$A$25:$A$50,A539,'USCG Summary'!$Q$25:$Q$50)/3.2808^2</f>
        <v>0</v>
      </c>
      <c r="AC539" s="153">
        <f>SUMIF('USCG Summary'!$A$25:$A$50,A539,'USCG Summary'!$T$25:$T$50)/3.2808^2</f>
        <v>0</v>
      </c>
      <c r="AD539" s="153">
        <f>SUMIF('USCG Summary'!$A$25:$A$50,A539,'USCG Summary'!$W$25:$W$50)/3.2808^2</f>
        <v>0</v>
      </c>
      <c r="AE539" s="153">
        <f>SUMIF('USCG Summary'!$A$25:$A$50,A539,'USCG Summary'!$Z$25:$Z$50)/3.2808^2</f>
        <v>0</v>
      </c>
      <c r="AF539" s="154">
        <f>SUMIF(Comp!$A$75:$A$400,Areas!A539,Comp!$F$75:$F$400)</f>
        <v>9.1</v>
      </c>
      <c r="AG539" s="154">
        <f>SUMIF(Comp!$A$75:$A$400,Areas!A539,Comp!$G$75:$G$400)</f>
        <v>9.1</v>
      </c>
      <c r="AH539" s="154"/>
      <c r="AI539" s="154"/>
      <c r="AK539" s="143"/>
    </row>
    <row r="540" spans="1:37" s="148" customFormat="1">
      <c r="A540" s="146" t="s">
        <v>403</v>
      </c>
      <c r="B540" s="146"/>
      <c r="C540" s="147">
        <f t="shared" ref="C540" si="245">S540</f>
        <v>26.756726239625745</v>
      </c>
      <c r="D540" s="147">
        <f t="shared" ref="D540:D541" si="246">T540</f>
        <v>0</v>
      </c>
      <c r="E540" s="147">
        <f t="shared" ref="E540:F541" si="247">U540</f>
        <v>12.356404825938277</v>
      </c>
      <c r="F540" s="147">
        <f t="shared" si="247"/>
        <v>0</v>
      </c>
      <c r="G540" s="147"/>
      <c r="H540" s="147"/>
      <c r="I540" s="147"/>
      <c r="J540" s="147"/>
      <c r="K540" s="147"/>
      <c r="L540" s="147"/>
      <c r="M540" s="147"/>
      <c r="N540" s="147"/>
      <c r="O540" s="147"/>
      <c r="P540" s="147">
        <f t="shared" si="157"/>
        <v>0</v>
      </c>
      <c r="Q540" s="147">
        <f t="shared" si="157"/>
        <v>0</v>
      </c>
      <c r="S540" s="155">
        <f>SUMIF('Flt III'!D:D,A540,'Flt III'!E:E)/3.2808^2</f>
        <v>26.756726239625745</v>
      </c>
      <c r="T540" s="155">
        <f>SUMIF('Flt IIa'!A:A,A540,'Flt IIa'!E:E)/3.2808^2</f>
        <v>0</v>
      </c>
      <c r="U540" s="155">
        <f>SUMIF('OPC Des'!A:A,A540,'OPC Des'!F:F)/3.2808^2</f>
        <v>12.356404825938277</v>
      </c>
      <c r="V540" s="155">
        <f>SUMIF('LCS 5'!A:A,A540,'LCS 5'!E:E)</f>
        <v>0</v>
      </c>
      <c r="W540" s="155">
        <f>SUMIF('USCG Summary'!$A$25:$A$50,A540,'USCG Summary'!$D$25:$D$50)/3.2808^2</f>
        <v>0</v>
      </c>
      <c r="X540" s="153">
        <f>SUMIF('USCG Summary'!$A$25:$A$50,A540,'USCG Summary'!$I$25:$I$50)/3.2808^2</f>
        <v>0</v>
      </c>
      <c r="Y540" s="153">
        <f>SUMIF('USCG Summary'!$A$25:$A$50,A540,'USCG Summary'!$L$25:$L$50)/3.2808^2</f>
        <v>0</v>
      </c>
      <c r="Z540" s="153">
        <f>SUMIF('USCG Summary'!$A$25:$A$50,A540,'USCG Summary'!$O$25:$O$50)/3.2808^2</f>
        <v>0</v>
      </c>
      <c r="AA540" s="153">
        <f>SUMIF('USCG Summary'!$A$25:$A$50,A540,'USCG Summary'!$P$25:$P$50)/3.2808^2</f>
        <v>0</v>
      </c>
      <c r="AB540" s="153">
        <f>SUMIF('USCG Summary'!$A$25:$A$50,A540,'USCG Summary'!$Q$25:$Q$50)/3.2808^2</f>
        <v>0</v>
      </c>
      <c r="AC540" s="153">
        <f>SUMIF('USCG Summary'!$A$25:$A$50,A540,'USCG Summary'!$T$25:$T$50)/3.2808^2</f>
        <v>0</v>
      </c>
      <c r="AD540" s="153">
        <f>SUMIF('USCG Summary'!$A$25:$A$50,A540,'USCG Summary'!$W$25:$W$50)/3.2808^2</f>
        <v>0</v>
      </c>
      <c r="AE540" s="153">
        <f>SUMIF('USCG Summary'!$A$25:$A$50,A540,'USCG Summary'!$Z$25:$Z$50)/3.2808^2</f>
        <v>0</v>
      </c>
      <c r="AF540" s="155">
        <f>SUMIF(Comp!$A$75:$A$400,Areas!A540,Comp!$F$75:$F$400)</f>
        <v>0</v>
      </c>
      <c r="AG540" s="155">
        <f>SUMIF(Comp!$A$75:$A$400,Areas!A540,Comp!$G$75:$G$400)</f>
        <v>0</v>
      </c>
      <c r="AH540" s="155"/>
      <c r="AI540" s="155"/>
      <c r="AK540" s="147"/>
    </row>
    <row r="541" spans="1:37" s="134" customFormat="1">
      <c r="A541" s="140">
        <v>4.3499999999999996</v>
      </c>
      <c r="B541" s="134" t="str">
        <f>Comp!B399</f>
        <v>MECHANICAL SYSTEMS</v>
      </c>
      <c r="C541" s="149">
        <f>S541</f>
        <v>0</v>
      </c>
      <c r="D541" s="149">
        <f t="shared" si="246"/>
        <v>0</v>
      </c>
      <c r="E541" s="149">
        <f t="shared" si="247"/>
        <v>0</v>
      </c>
      <c r="F541" s="149">
        <f t="shared" si="247"/>
        <v>0</v>
      </c>
      <c r="G541" s="149"/>
      <c r="H541" s="149"/>
      <c r="I541" s="149"/>
      <c r="J541" s="149"/>
      <c r="K541" s="149"/>
      <c r="L541" s="149"/>
      <c r="M541" s="149"/>
      <c r="N541" s="149"/>
      <c r="O541" s="149"/>
      <c r="P541" s="149">
        <f t="shared" si="157"/>
        <v>37.9</v>
      </c>
      <c r="Q541" s="149">
        <f t="shared" si="157"/>
        <v>37.9</v>
      </c>
      <c r="S541" s="153">
        <f>SUMIF('Flt III'!D:D,A541,'Flt III'!E:E)/3.2808^2</f>
        <v>0</v>
      </c>
      <c r="T541" s="153">
        <f>SUMIF('Flt IIa'!A:A,A541,'Flt IIa'!E:E)/3.2808^2</f>
        <v>0</v>
      </c>
      <c r="U541" s="153">
        <f>SUMIF('OPC Des'!A:A,A541,'OPC Des'!F:F)/3.2808^2</f>
        <v>0</v>
      </c>
      <c r="V541" s="153">
        <f>SUMIF('LCS 5'!A:A,A541,'LCS 5'!E:E)</f>
        <v>0</v>
      </c>
      <c r="W541" s="153">
        <f>SUMIF('USCG Summary'!$A$25:$A$50,A541,'USCG Summary'!$D$25:$D$50)/3.2808^2</f>
        <v>0</v>
      </c>
      <c r="X541" s="153">
        <f>SUMIF('USCG Summary'!$A$25:$A$50,A541,'USCG Summary'!$I$25:$I$50)/3.2808^2</f>
        <v>0</v>
      </c>
      <c r="Y541" s="153">
        <f>SUMIF('USCG Summary'!$A$25:$A$50,A541,'USCG Summary'!$L$25:$L$50)/3.2808^2</f>
        <v>0</v>
      </c>
      <c r="Z541" s="153">
        <f>SUMIF('USCG Summary'!$A$25:$A$50,A541,'USCG Summary'!$O$25:$O$50)/3.2808^2</f>
        <v>0</v>
      </c>
      <c r="AA541" s="153">
        <f>SUMIF('USCG Summary'!$A$25:$A$50,A541,'USCG Summary'!$P$25:$P$50)/3.2808^2</f>
        <v>0</v>
      </c>
      <c r="AB541" s="153">
        <f>SUMIF('USCG Summary'!$A$25:$A$50,A541,'USCG Summary'!$Q$25:$Q$50)/3.2808^2</f>
        <v>0</v>
      </c>
      <c r="AC541" s="153">
        <f>SUMIF('USCG Summary'!$A$25:$A$50,A541,'USCG Summary'!$T$25:$T$50)/3.2808^2</f>
        <v>0</v>
      </c>
      <c r="AD541" s="153">
        <f>SUMIF('USCG Summary'!$A$25:$A$50,A541,'USCG Summary'!$W$25:$W$50)/3.2808^2</f>
        <v>0</v>
      </c>
      <c r="AE541" s="153">
        <f>SUMIF('USCG Summary'!$A$25:$A$50,A541,'USCG Summary'!$Z$25:$Z$50)/3.2808^2</f>
        <v>0</v>
      </c>
      <c r="AF541" s="153">
        <f>SUMIF(Comp!$A$75:$A$400,Areas!A541,Comp!$F$75:$F$400)</f>
        <v>37.9</v>
      </c>
      <c r="AG541" s="153">
        <f>SUMIF(Comp!$A$75:$A$400,Areas!A541,Comp!$G$75:$G$400)</f>
        <v>37.9</v>
      </c>
      <c r="AH541" s="153"/>
      <c r="AI541" s="153"/>
      <c r="AK541" s="133"/>
    </row>
    <row r="542" spans="1:37" s="134" customFormat="1">
      <c r="A542" s="140">
        <v>4.3600000000000003</v>
      </c>
      <c r="B542" s="134" t="str">
        <f>Comp!B400</f>
        <v>VENTILATION SYSTEMS</v>
      </c>
      <c r="C542" s="149">
        <f>C543</f>
        <v>307.79525705513919</v>
      </c>
      <c r="D542" s="149">
        <f t="shared" ref="D542:F542" si="248">D543</f>
        <v>0</v>
      </c>
      <c r="E542" s="149">
        <f t="shared" si="248"/>
        <v>122.91371116328077</v>
      </c>
      <c r="F542" s="149">
        <f t="shared" si="248"/>
        <v>98.849000000000004</v>
      </c>
      <c r="G542" s="149"/>
      <c r="H542" s="149"/>
      <c r="I542" s="149"/>
      <c r="J542" s="149"/>
      <c r="K542" s="149"/>
      <c r="L542" s="149"/>
      <c r="M542" s="149"/>
      <c r="N542" s="149"/>
      <c r="O542" s="149"/>
      <c r="P542" s="149">
        <f t="shared" si="157"/>
        <v>129.80000000000001</v>
      </c>
      <c r="Q542" s="149">
        <f t="shared" si="157"/>
        <v>129.80000000000001</v>
      </c>
      <c r="S542" s="153">
        <f>SUMIF('Flt III'!D:D,A542,'Flt III'!E:E)/3.2808^2</f>
        <v>0</v>
      </c>
      <c r="T542" s="153">
        <f>SUMIF('Flt IIa'!A:A,A542,'Flt IIa'!E:E)/3.2808^2</f>
        <v>0</v>
      </c>
      <c r="U542" s="153">
        <f>SUMIF('OPC Des'!A:A,A542,'OPC Des'!F:F)/3.2808^2</f>
        <v>0</v>
      </c>
      <c r="V542" s="153">
        <f>SUMIF('LCS 5'!A:A,A542,'LCS 5'!E:E)</f>
        <v>0</v>
      </c>
      <c r="W542" s="153">
        <f>SUMIF('USCG Summary'!$A$25:$A$50,A542,'USCG Summary'!$D$25:$D$50)/3.2808^2</f>
        <v>0</v>
      </c>
      <c r="X542" s="153">
        <f>SUMIF('USCG Summary'!$A$25:$A$50,A542,'USCG Summary'!$I$25:$I$50)/3.2808^2</f>
        <v>0</v>
      </c>
      <c r="Y542" s="153">
        <f>SUMIF('USCG Summary'!$A$25:$A$50,A542,'USCG Summary'!$L$25:$L$50)/3.2808^2</f>
        <v>0</v>
      </c>
      <c r="Z542" s="153">
        <f>SUMIF('USCG Summary'!$A$25:$A$50,A542,'USCG Summary'!$O$25:$O$50)/3.2808^2</f>
        <v>0</v>
      </c>
      <c r="AA542" s="153">
        <f>SUMIF('USCG Summary'!$A$25:$A$50,A542,'USCG Summary'!$P$25:$P$50)/3.2808^2</f>
        <v>0</v>
      </c>
      <c r="AB542" s="153">
        <f>SUMIF('USCG Summary'!$A$25:$A$50,A542,'USCG Summary'!$Q$25:$Q$50)/3.2808^2</f>
        <v>0</v>
      </c>
      <c r="AC542" s="153">
        <f>SUMIF('USCG Summary'!$A$25:$A$50,A542,'USCG Summary'!$T$25:$T$50)/3.2808^2</f>
        <v>0</v>
      </c>
      <c r="AD542" s="153">
        <f>SUMIF('USCG Summary'!$A$25:$A$50,A542,'USCG Summary'!$W$25:$W$50)/3.2808^2</f>
        <v>0</v>
      </c>
      <c r="AE542" s="153">
        <f>SUMIF('USCG Summary'!$A$25:$A$50,A542,'USCG Summary'!$Z$25:$Z$50)/3.2808^2</f>
        <v>0</v>
      </c>
      <c r="AF542" s="153">
        <f>SUMIF(Comp!$A$75:$A$400,Areas!A542,Comp!$F$75:$F$400)</f>
        <v>129.80000000000001</v>
      </c>
      <c r="AG542" s="153">
        <f>SUMIF(Comp!$A$75:$A$400,Areas!A542,Comp!$G$75:$G$400)</f>
        <v>129.80000000000001</v>
      </c>
      <c r="AH542" s="153"/>
      <c r="AI542" s="153"/>
      <c r="AK542" s="133"/>
    </row>
    <row r="543" spans="1:37" s="148" customFormat="1">
      <c r="A543" s="146" t="s">
        <v>371</v>
      </c>
      <c r="B543" s="146"/>
      <c r="C543" s="147">
        <f t="shared" ref="C543" si="249">S543</f>
        <v>307.79525705513919</v>
      </c>
      <c r="D543" s="147">
        <f t="shared" ref="D543" si="250">T543</f>
        <v>0</v>
      </c>
      <c r="E543" s="147">
        <f t="shared" ref="E543:F543" si="251">U543</f>
        <v>122.91371116328077</v>
      </c>
      <c r="F543" s="147">
        <f t="shared" si="251"/>
        <v>98.849000000000004</v>
      </c>
      <c r="G543" s="147"/>
      <c r="H543" s="147"/>
      <c r="I543" s="147"/>
      <c r="J543" s="147"/>
      <c r="K543" s="147"/>
      <c r="L543" s="147"/>
      <c r="M543" s="147"/>
      <c r="N543" s="147"/>
      <c r="O543" s="147"/>
      <c r="P543" s="147">
        <f t="shared" si="157"/>
        <v>0</v>
      </c>
      <c r="Q543" s="147">
        <f t="shared" si="157"/>
        <v>0</v>
      </c>
      <c r="S543" s="155">
        <f>SUMIF('Flt III'!D:D,A543,'Flt III'!E:E)/3.2808^2</f>
        <v>307.79525705513919</v>
      </c>
      <c r="T543" s="155">
        <f>SUMIF('Flt IIa'!A:A,A543,'Flt IIa'!E:E)/3.2808^2</f>
        <v>0</v>
      </c>
      <c r="U543" s="155">
        <f>SUMIF('OPC Des'!A:A,A543,'OPC Des'!F:F)/3.2808^2</f>
        <v>122.91371116328077</v>
      </c>
      <c r="V543" s="155">
        <f>SUMIF('LCS 5'!A:A,A543,'LCS 5'!E:E)</f>
        <v>98.849000000000004</v>
      </c>
      <c r="W543" s="155">
        <f>SUMIF('USCG Summary'!$A$25:$A$50,A543,'USCG Summary'!$D$25:$D$50)/3.2808^2</f>
        <v>0</v>
      </c>
      <c r="X543" s="153">
        <f>SUMIF('USCG Summary'!$A$25:$A$50,A543,'USCG Summary'!$I$25:$I$50)/3.2808^2</f>
        <v>0</v>
      </c>
      <c r="Y543" s="153">
        <f>SUMIF('USCG Summary'!$A$25:$A$50,A543,'USCG Summary'!$L$25:$L$50)/3.2808^2</f>
        <v>0</v>
      </c>
      <c r="Z543" s="153">
        <f>SUMIF('USCG Summary'!$A$25:$A$50,A543,'USCG Summary'!$O$25:$O$50)/3.2808^2</f>
        <v>0</v>
      </c>
      <c r="AA543" s="153">
        <f>SUMIF('USCG Summary'!$A$25:$A$50,A543,'USCG Summary'!$P$25:$P$50)/3.2808^2</f>
        <v>0</v>
      </c>
      <c r="AB543" s="153">
        <f>SUMIF('USCG Summary'!$A$25:$A$50,A543,'USCG Summary'!$Q$25:$Q$50)/3.2808^2</f>
        <v>0</v>
      </c>
      <c r="AC543" s="153">
        <f>SUMIF('USCG Summary'!$A$25:$A$50,A543,'USCG Summary'!$T$25:$T$50)/3.2808^2</f>
        <v>0</v>
      </c>
      <c r="AD543" s="153">
        <f>SUMIF('USCG Summary'!$A$25:$A$50,A543,'USCG Summary'!$W$25:$W$50)/3.2808^2</f>
        <v>0</v>
      </c>
      <c r="AE543" s="153">
        <f>SUMIF('USCG Summary'!$A$25:$A$50,A543,'USCG Summary'!$Z$25:$Z$50)/3.2808^2</f>
        <v>0</v>
      </c>
      <c r="AF543" s="155">
        <f>SUMIF(Comp!$A$75:$A$400,Areas!A543,Comp!$F$75:$F$400)</f>
        <v>0</v>
      </c>
      <c r="AG543" s="155">
        <f>SUMIF(Comp!$A$75:$A$400,Areas!A543,Comp!$G$75:$G$400)</f>
        <v>0</v>
      </c>
      <c r="AH543" s="155"/>
      <c r="AI543" s="155"/>
      <c r="AK543" s="147"/>
    </row>
    <row r="756" spans="1:1">
      <c r="A756" s="4" t="s">
        <v>23</v>
      </c>
    </row>
    <row r="757" spans="1:1">
      <c r="A757" s="4">
        <v>1.3813</v>
      </c>
    </row>
    <row r="758" spans="1:1">
      <c r="A758" s="4">
        <v>3.9110100000000001</v>
      </c>
    </row>
    <row r="759" spans="1:1">
      <c r="A759" s="4">
        <v>3.9110399999999998</v>
      </c>
    </row>
    <row r="760" spans="1:1">
      <c r="A760" s="4">
        <v>3.9140000000000001</v>
      </c>
    </row>
    <row r="761" spans="1:1">
      <c r="A761" s="4">
        <v>3.92</v>
      </c>
    </row>
    <row r="762" spans="1:1">
      <c r="A762" s="4">
        <v>3.93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3"/>
  <sheetViews>
    <sheetView zoomScale="50" workbookViewId="0">
      <pane xSplit="3" ySplit="1" topLeftCell="D6" activePane="bottomRight" state="frozen"/>
      <selection pane="topRight" activeCell="C1" sqref="C1"/>
      <selection pane="bottomLeft" activeCell="A2" sqref="A2"/>
      <selection pane="bottomRight" activeCell="C43" sqref="C43"/>
    </sheetView>
  </sheetViews>
  <sheetFormatPr defaultRowHeight="12.5"/>
  <cols>
    <col min="1" max="1" width="8.7265625" style="308"/>
    <col min="2" max="2" width="4.7265625" style="308" customWidth="1"/>
    <col min="3" max="3" width="36.7265625" style="308" customWidth="1"/>
    <col min="4" max="9" width="6.7265625" style="308" customWidth="1"/>
    <col min="10" max="25" width="7.7265625" style="308" customWidth="1"/>
    <col min="26" max="263" width="8.7265625" style="308"/>
    <col min="264" max="264" width="4.7265625" style="308" customWidth="1"/>
    <col min="265" max="265" width="36.7265625" style="308" customWidth="1"/>
    <col min="266" max="269" width="6.7265625" style="308" customWidth="1"/>
    <col min="270" max="281" width="7.7265625" style="308" customWidth="1"/>
    <col min="282" max="519" width="8.7265625" style="308"/>
    <col min="520" max="520" width="4.7265625" style="308" customWidth="1"/>
    <col min="521" max="521" width="36.7265625" style="308" customWidth="1"/>
    <col min="522" max="525" width="6.7265625" style="308" customWidth="1"/>
    <col min="526" max="537" width="7.7265625" style="308" customWidth="1"/>
    <col min="538" max="775" width="8.7265625" style="308"/>
    <col min="776" max="776" width="4.7265625" style="308" customWidth="1"/>
    <col min="777" max="777" width="36.7265625" style="308" customWidth="1"/>
    <col min="778" max="781" width="6.7265625" style="308" customWidth="1"/>
    <col min="782" max="793" width="7.7265625" style="308" customWidth="1"/>
    <col min="794" max="1031" width="8.7265625" style="308"/>
    <col min="1032" max="1032" width="4.7265625" style="308" customWidth="1"/>
    <col min="1033" max="1033" width="36.7265625" style="308" customWidth="1"/>
    <col min="1034" max="1037" width="6.7265625" style="308" customWidth="1"/>
    <col min="1038" max="1049" width="7.7265625" style="308" customWidth="1"/>
    <col min="1050" max="1287" width="8.7265625" style="308"/>
    <col min="1288" max="1288" width="4.7265625" style="308" customWidth="1"/>
    <col min="1289" max="1289" width="36.7265625" style="308" customWidth="1"/>
    <col min="1290" max="1293" width="6.7265625" style="308" customWidth="1"/>
    <col min="1294" max="1305" width="7.7265625" style="308" customWidth="1"/>
    <col min="1306" max="1543" width="8.7265625" style="308"/>
    <col min="1544" max="1544" width="4.7265625" style="308" customWidth="1"/>
    <col min="1545" max="1545" width="36.7265625" style="308" customWidth="1"/>
    <col min="1546" max="1549" width="6.7265625" style="308" customWidth="1"/>
    <col min="1550" max="1561" width="7.7265625" style="308" customWidth="1"/>
    <col min="1562" max="1799" width="8.7265625" style="308"/>
    <col min="1800" max="1800" width="4.7265625" style="308" customWidth="1"/>
    <col min="1801" max="1801" width="36.7265625" style="308" customWidth="1"/>
    <col min="1802" max="1805" width="6.7265625" style="308" customWidth="1"/>
    <col min="1806" max="1817" width="7.7265625" style="308" customWidth="1"/>
    <col min="1818" max="2055" width="8.7265625" style="308"/>
    <col min="2056" max="2056" width="4.7265625" style="308" customWidth="1"/>
    <col min="2057" max="2057" width="36.7265625" style="308" customWidth="1"/>
    <col min="2058" max="2061" width="6.7265625" style="308" customWidth="1"/>
    <col min="2062" max="2073" width="7.7265625" style="308" customWidth="1"/>
    <col min="2074" max="2311" width="8.7265625" style="308"/>
    <col min="2312" max="2312" width="4.7265625" style="308" customWidth="1"/>
    <col min="2313" max="2313" width="36.7265625" style="308" customWidth="1"/>
    <col min="2314" max="2317" width="6.7265625" style="308" customWidth="1"/>
    <col min="2318" max="2329" width="7.7265625" style="308" customWidth="1"/>
    <col min="2330" max="2567" width="8.7265625" style="308"/>
    <col min="2568" max="2568" width="4.7265625" style="308" customWidth="1"/>
    <col min="2569" max="2569" width="36.7265625" style="308" customWidth="1"/>
    <col min="2570" max="2573" width="6.7265625" style="308" customWidth="1"/>
    <col min="2574" max="2585" width="7.7265625" style="308" customWidth="1"/>
    <col min="2586" max="2823" width="8.7265625" style="308"/>
    <col min="2824" max="2824" width="4.7265625" style="308" customWidth="1"/>
    <col min="2825" max="2825" width="36.7265625" style="308" customWidth="1"/>
    <col min="2826" max="2829" width="6.7265625" style="308" customWidth="1"/>
    <col min="2830" max="2841" width="7.7265625" style="308" customWidth="1"/>
    <col min="2842" max="3079" width="8.7265625" style="308"/>
    <col min="3080" max="3080" width="4.7265625" style="308" customWidth="1"/>
    <col min="3081" max="3081" width="36.7265625" style="308" customWidth="1"/>
    <col min="3082" max="3085" width="6.7265625" style="308" customWidth="1"/>
    <col min="3086" max="3097" width="7.7265625" style="308" customWidth="1"/>
    <col min="3098" max="3335" width="8.7265625" style="308"/>
    <col min="3336" max="3336" width="4.7265625" style="308" customWidth="1"/>
    <col min="3337" max="3337" width="36.7265625" style="308" customWidth="1"/>
    <col min="3338" max="3341" width="6.7265625" style="308" customWidth="1"/>
    <col min="3342" max="3353" width="7.7265625" style="308" customWidth="1"/>
    <col min="3354" max="3591" width="8.7265625" style="308"/>
    <col min="3592" max="3592" width="4.7265625" style="308" customWidth="1"/>
    <col min="3593" max="3593" width="36.7265625" style="308" customWidth="1"/>
    <col min="3594" max="3597" width="6.7265625" style="308" customWidth="1"/>
    <col min="3598" max="3609" width="7.7265625" style="308" customWidth="1"/>
    <col min="3610" max="3847" width="8.7265625" style="308"/>
    <col min="3848" max="3848" width="4.7265625" style="308" customWidth="1"/>
    <col min="3849" max="3849" width="36.7265625" style="308" customWidth="1"/>
    <col min="3850" max="3853" width="6.7265625" style="308" customWidth="1"/>
    <col min="3854" max="3865" width="7.7265625" style="308" customWidth="1"/>
    <col min="3866" max="4103" width="8.7265625" style="308"/>
    <col min="4104" max="4104" width="4.7265625" style="308" customWidth="1"/>
    <col min="4105" max="4105" width="36.7265625" style="308" customWidth="1"/>
    <col min="4106" max="4109" width="6.7265625" style="308" customWidth="1"/>
    <col min="4110" max="4121" width="7.7265625" style="308" customWidth="1"/>
    <col min="4122" max="4359" width="8.7265625" style="308"/>
    <col min="4360" max="4360" width="4.7265625" style="308" customWidth="1"/>
    <col min="4361" max="4361" width="36.7265625" style="308" customWidth="1"/>
    <col min="4362" max="4365" width="6.7265625" style="308" customWidth="1"/>
    <col min="4366" max="4377" width="7.7265625" style="308" customWidth="1"/>
    <col min="4378" max="4615" width="8.7265625" style="308"/>
    <col min="4616" max="4616" width="4.7265625" style="308" customWidth="1"/>
    <col min="4617" max="4617" width="36.7265625" style="308" customWidth="1"/>
    <col min="4618" max="4621" width="6.7265625" style="308" customWidth="1"/>
    <col min="4622" max="4633" width="7.7265625" style="308" customWidth="1"/>
    <col min="4634" max="4871" width="8.7265625" style="308"/>
    <col min="4872" max="4872" width="4.7265625" style="308" customWidth="1"/>
    <col min="4873" max="4873" width="36.7265625" style="308" customWidth="1"/>
    <col min="4874" max="4877" width="6.7265625" style="308" customWidth="1"/>
    <col min="4878" max="4889" width="7.7265625" style="308" customWidth="1"/>
    <col min="4890" max="5127" width="8.7265625" style="308"/>
    <col min="5128" max="5128" width="4.7265625" style="308" customWidth="1"/>
    <col min="5129" max="5129" width="36.7265625" style="308" customWidth="1"/>
    <col min="5130" max="5133" width="6.7265625" style="308" customWidth="1"/>
    <col min="5134" max="5145" width="7.7265625" style="308" customWidth="1"/>
    <col min="5146" max="5383" width="8.7265625" style="308"/>
    <col min="5384" max="5384" width="4.7265625" style="308" customWidth="1"/>
    <col min="5385" max="5385" width="36.7265625" style="308" customWidth="1"/>
    <col min="5386" max="5389" width="6.7265625" style="308" customWidth="1"/>
    <col min="5390" max="5401" width="7.7265625" style="308" customWidth="1"/>
    <col min="5402" max="5639" width="8.7265625" style="308"/>
    <col min="5640" max="5640" width="4.7265625" style="308" customWidth="1"/>
    <col min="5641" max="5641" width="36.7265625" style="308" customWidth="1"/>
    <col min="5642" max="5645" width="6.7265625" style="308" customWidth="1"/>
    <col min="5646" max="5657" width="7.7265625" style="308" customWidth="1"/>
    <col min="5658" max="5895" width="8.7265625" style="308"/>
    <col min="5896" max="5896" width="4.7265625" style="308" customWidth="1"/>
    <col min="5897" max="5897" width="36.7265625" style="308" customWidth="1"/>
    <col min="5898" max="5901" width="6.7265625" style="308" customWidth="1"/>
    <col min="5902" max="5913" width="7.7265625" style="308" customWidth="1"/>
    <col min="5914" max="6151" width="8.7265625" style="308"/>
    <col min="6152" max="6152" width="4.7265625" style="308" customWidth="1"/>
    <col min="6153" max="6153" width="36.7265625" style="308" customWidth="1"/>
    <col min="6154" max="6157" width="6.7265625" style="308" customWidth="1"/>
    <col min="6158" max="6169" width="7.7265625" style="308" customWidth="1"/>
    <col min="6170" max="6407" width="8.7265625" style="308"/>
    <col min="6408" max="6408" width="4.7265625" style="308" customWidth="1"/>
    <col min="6409" max="6409" width="36.7265625" style="308" customWidth="1"/>
    <col min="6410" max="6413" width="6.7265625" style="308" customWidth="1"/>
    <col min="6414" max="6425" width="7.7265625" style="308" customWidth="1"/>
    <col min="6426" max="6663" width="8.7265625" style="308"/>
    <col min="6664" max="6664" width="4.7265625" style="308" customWidth="1"/>
    <col min="6665" max="6665" width="36.7265625" style="308" customWidth="1"/>
    <col min="6666" max="6669" width="6.7265625" style="308" customWidth="1"/>
    <col min="6670" max="6681" width="7.7265625" style="308" customWidth="1"/>
    <col min="6682" max="6919" width="8.7265625" style="308"/>
    <col min="6920" max="6920" width="4.7265625" style="308" customWidth="1"/>
    <col min="6921" max="6921" width="36.7265625" style="308" customWidth="1"/>
    <col min="6922" max="6925" width="6.7265625" style="308" customWidth="1"/>
    <col min="6926" max="6937" width="7.7265625" style="308" customWidth="1"/>
    <col min="6938" max="7175" width="8.7265625" style="308"/>
    <col min="7176" max="7176" width="4.7265625" style="308" customWidth="1"/>
    <col min="7177" max="7177" width="36.7265625" style="308" customWidth="1"/>
    <col min="7178" max="7181" width="6.7265625" style="308" customWidth="1"/>
    <col min="7182" max="7193" width="7.7265625" style="308" customWidth="1"/>
    <col min="7194" max="7431" width="8.7265625" style="308"/>
    <col min="7432" max="7432" width="4.7265625" style="308" customWidth="1"/>
    <col min="7433" max="7433" width="36.7265625" style="308" customWidth="1"/>
    <col min="7434" max="7437" width="6.7265625" style="308" customWidth="1"/>
    <col min="7438" max="7449" width="7.7265625" style="308" customWidth="1"/>
    <col min="7450" max="7687" width="8.7265625" style="308"/>
    <col min="7688" max="7688" width="4.7265625" style="308" customWidth="1"/>
    <col min="7689" max="7689" width="36.7265625" style="308" customWidth="1"/>
    <col min="7690" max="7693" width="6.7265625" style="308" customWidth="1"/>
    <col min="7694" max="7705" width="7.7265625" style="308" customWidth="1"/>
    <col min="7706" max="7943" width="8.7265625" style="308"/>
    <col min="7944" max="7944" width="4.7265625" style="308" customWidth="1"/>
    <col min="7945" max="7945" width="36.7265625" style="308" customWidth="1"/>
    <col min="7946" max="7949" width="6.7265625" style="308" customWidth="1"/>
    <col min="7950" max="7961" width="7.7265625" style="308" customWidth="1"/>
    <col min="7962" max="8199" width="8.7265625" style="308"/>
    <col min="8200" max="8200" width="4.7265625" style="308" customWidth="1"/>
    <col min="8201" max="8201" width="36.7265625" style="308" customWidth="1"/>
    <col min="8202" max="8205" width="6.7265625" style="308" customWidth="1"/>
    <col min="8206" max="8217" width="7.7265625" style="308" customWidth="1"/>
    <col min="8218" max="8455" width="8.7265625" style="308"/>
    <col min="8456" max="8456" width="4.7265625" style="308" customWidth="1"/>
    <col min="8457" max="8457" width="36.7265625" style="308" customWidth="1"/>
    <col min="8458" max="8461" width="6.7265625" style="308" customWidth="1"/>
    <col min="8462" max="8473" width="7.7265625" style="308" customWidth="1"/>
    <col min="8474" max="8711" width="8.7265625" style="308"/>
    <col min="8712" max="8712" width="4.7265625" style="308" customWidth="1"/>
    <col min="8713" max="8713" width="36.7265625" style="308" customWidth="1"/>
    <col min="8714" max="8717" width="6.7265625" style="308" customWidth="1"/>
    <col min="8718" max="8729" width="7.7265625" style="308" customWidth="1"/>
    <col min="8730" max="8967" width="8.7265625" style="308"/>
    <col min="8968" max="8968" width="4.7265625" style="308" customWidth="1"/>
    <col min="8969" max="8969" width="36.7265625" style="308" customWidth="1"/>
    <col min="8970" max="8973" width="6.7265625" style="308" customWidth="1"/>
    <col min="8974" max="8985" width="7.7265625" style="308" customWidth="1"/>
    <col min="8986" max="9223" width="8.7265625" style="308"/>
    <col min="9224" max="9224" width="4.7265625" style="308" customWidth="1"/>
    <col min="9225" max="9225" width="36.7265625" style="308" customWidth="1"/>
    <col min="9226" max="9229" width="6.7265625" style="308" customWidth="1"/>
    <col min="9230" max="9241" width="7.7265625" style="308" customWidth="1"/>
    <col min="9242" max="9479" width="8.7265625" style="308"/>
    <col min="9480" max="9480" width="4.7265625" style="308" customWidth="1"/>
    <col min="9481" max="9481" width="36.7265625" style="308" customWidth="1"/>
    <col min="9482" max="9485" width="6.7265625" style="308" customWidth="1"/>
    <col min="9486" max="9497" width="7.7265625" style="308" customWidth="1"/>
    <col min="9498" max="9735" width="8.7265625" style="308"/>
    <col min="9736" max="9736" width="4.7265625" style="308" customWidth="1"/>
    <col min="9737" max="9737" width="36.7265625" style="308" customWidth="1"/>
    <col min="9738" max="9741" width="6.7265625" style="308" customWidth="1"/>
    <col min="9742" max="9753" width="7.7265625" style="308" customWidth="1"/>
    <col min="9754" max="9991" width="8.7265625" style="308"/>
    <col min="9992" max="9992" width="4.7265625" style="308" customWidth="1"/>
    <col min="9993" max="9993" width="36.7265625" style="308" customWidth="1"/>
    <col min="9994" max="9997" width="6.7265625" style="308" customWidth="1"/>
    <col min="9998" max="10009" width="7.7265625" style="308" customWidth="1"/>
    <col min="10010" max="10247" width="8.7265625" style="308"/>
    <col min="10248" max="10248" width="4.7265625" style="308" customWidth="1"/>
    <col min="10249" max="10249" width="36.7265625" style="308" customWidth="1"/>
    <col min="10250" max="10253" width="6.7265625" style="308" customWidth="1"/>
    <col min="10254" max="10265" width="7.7265625" style="308" customWidth="1"/>
    <col min="10266" max="10503" width="8.7265625" style="308"/>
    <col min="10504" max="10504" width="4.7265625" style="308" customWidth="1"/>
    <col min="10505" max="10505" width="36.7265625" style="308" customWidth="1"/>
    <col min="10506" max="10509" width="6.7265625" style="308" customWidth="1"/>
    <col min="10510" max="10521" width="7.7265625" style="308" customWidth="1"/>
    <col min="10522" max="10759" width="8.7265625" style="308"/>
    <col min="10760" max="10760" width="4.7265625" style="308" customWidth="1"/>
    <col min="10761" max="10761" width="36.7265625" style="308" customWidth="1"/>
    <col min="10762" max="10765" width="6.7265625" style="308" customWidth="1"/>
    <col min="10766" max="10777" width="7.7265625" style="308" customWidth="1"/>
    <col min="10778" max="11015" width="8.7265625" style="308"/>
    <col min="11016" max="11016" width="4.7265625" style="308" customWidth="1"/>
    <col min="11017" max="11017" width="36.7265625" style="308" customWidth="1"/>
    <col min="11018" max="11021" width="6.7265625" style="308" customWidth="1"/>
    <col min="11022" max="11033" width="7.7265625" style="308" customWidth="1"/>
    <col min="11034" max="11271" width="8.7265625" style="308"/>
    <col min="11272" max="11272" width="4.7265625" style="308" customWidth="1"/>
    <col min="11273" max="11273" width="36.7265625" style="308" customWidth="1"/>
    <col min="11274" max="11277" width="6.7265625" style="308" customWidth="1"/>
    <col min="11278" max="11289" width="7.7265625" style="308" customWidth="1"/>
    <col min="11290" max="11527" width="8.7265625" style="308"/>
    <col min="11528" max="11528" width="4.7265625" style="308" customWidth="1"/>
    <col min="11529" max="11529" width="36.7265625" style="308" customWidth="1"/>
    <col min="11530" max="11533" width="6.7265625" style="308" customWidth="1"/>
    <col min="11534" max="11545" width="7.7265625" style="308" customWidth="1"/>
    <col min="11546" max="11783" width="8.7265625" style="308"/>
    <col min="11784" max="11784" width="4.7265625" style="308" customWidth="1"/>
    <col min="11785" max="11785" width="36.7265625" style="308" customWidth="1"/>
    <col min="11786" max="11789" width="6.7265625" style="308" customWidth="1"/>
    <col min="11790" max="11801" width="7.7265625" style="308" customWidth="1"/>
    <col min="11802" max="12039" width="8.7265625" style="308"/>
    <col min="12040" max="12040" width="4.7265625" style="308" customWidth="1"/>
    <col min="12041" max="12041" width="36.7265625" style="308" customWidth="1"/>
    <col min="12042" max="12045" width="6.7265625" style="308" customWidth="1"/>
    <col min="12046" max="12057" width="7.7265625" style="308" customWidth="1"/>
    <col min="12058" max="12295" width="8.7265625" style="308"/>
    <col min="12296" max="12296" width="4.7265625" style="308" customWidth="1"/>
    <col min="12297" max="12297" width="36.7265625" style="308" customWidth="1"/>
    <col min="12298" max="12301" width="6.7265625" style="308" customWidth="1"/>
    <col min="12302" max="12313" width="7.7265625" style="308" customWidth="1"/>
    <col min="12314" max="12551" width="8.7265625" style="308"/>
    <col min="12552" max="12552" width="4.7265625" style="308" customWidth="1"/>
    <col min="12553" max="12553" width="36.7265625" style="308" customWidth="1"/>
    <col min="12554" max="12557" width="6.7265625" style="308" customWidth="1"/>
    <col min="12558" max="12569" width="7.7265625" style="308" customWidth="1"/>
    <col min="12570" max="12807" width="8.7265625" style="308"/>
    <col min="12808" max="12808" width="4.7265625" style="308" customWidth="1"/>
    <col min="12809" max="12809" width="36.7265625" style="308" customWidth="1"/>
    <col min="12810" max="12813" width="6.7265625" style="308" customWidth="1"/>
    <col min="12814" max="12825" width="7.7265625" style="308" customWidth="1"/>
    <col min="12826" max="13063" width="8.7265625" style="308"/>
    <col min="13064" max="13064" width="4.7265625" style="308" customWidth="1"/>
    <col min="13065" max="13065" width="36.7265625" style="308" customWidth="1"/>
    <col min="13066" max="13069" width="6.7265625" style="308" customWidth="1"/>
    <col min="13070" max="13081" width="7.7265625" style="308" customWidth="1"/>
    <col min="13082" max="13319" width="8.7265625" style="308"/>
    <col min="13320" max="13320" width="4.7265625" style="308" customWidth="1"/>
    <col min="13321" max="13321" width="36.7265625" style="308" customWidth="1"/>
    <col min="13322" max="13325" width="6.7265625" style="308" customWidth="1"/>
    <col min="13326" max="13337" width="7.7265625" style="308" customWidth="1"/>
    <col min="13338" max="13575" width="8.7265625" style="308"/>
    <col min="13576" max="13576" width="4.7265625" style="308" customWidth="1"/>
    <col min="13577" max="13577" width="36.7265625" style="308" customWidth="1"/>
    <col min="13578" max="13581" width="6.7265625" style="308" customWidth="1"/>
    <col min="13582" max="13593" width="7.7265625" style="308" customWidth="1"/>
    <col min="13594" max="13831" width="8.7265625" style="308"/>
    <col min="13832" max="13832" width="4.7265625" style="308" customWidth="1"/>
    <col min="13833" max="13833" width="36.7265625" style="308" customWidth="1"/>
    <col min="13834" max="13837" width="6.7265625" style="308" customWidth="1"/>
    <col min="13838" max="13849" width="7.7265625" style="308" customWidth="1"/>
    <col min="13850" max="14087" width="8.7265625" style="308"/>
    <col min="14088" max="14088" width="4.7265625" style="308" customWidth="1"/>
    <col min="14089" max="14089" width="36.7265625" style="308" customWidth="1"/>
    <col min="14090" max="14093" width="6.7265625" style="308" customWidth="1"/>
    <col min="14094" max="14105" width="7.7265625" style="308" customWidth="1"/>
    <col min="14106" max="14343" width="8.7265625" style="308"/>
    <col min="14344" max="14344" width="4.7265625" style="308" customWidth="1"/>
    <col min="14345" max="14345" width="36.7265625" style="308" customWidth="1"/>
    <col min="14346" max="14349" width="6.7265625" style="308" customWidth="1"/>
    <col min="14350" max="14361" width="7.7265625" style="308" customWidth="1"/>
    <col min="14362" max="14599" width="8.7265625" style="308"/>
    <col min="14600" max="14600" width="4.7265625" style="308" customWidth="1"/>
    <col min="14601" max="14601" width="36.7265625" style="308" customWidth="1"/>
    <col min="14602" max="14605" width="6.7265625" style="308" customWidth="1"/>
    <col min="14606" max="14617" width="7.7265625" style="308" customWidth="1"/>
    <col min="14618" max="14855" width="8.7265625" style="308"/>
    <col min="14856" max="14856" width="4.7265625" style="308" customWidth="1"/>
    <col min="14857" max="14857" width="36.7265625" style="308" customWidth="1"/>
    <col min="14858" max="14861" width="6.7265625" style="308" customWidth="1"/>
    <col min="14862" max="14873" width="7.7265625" style="308" customWidth="1"/>
    <col min="14874" max="15111" width="8.7265625" style="308"/>
    <col min="15112" max="15112" width="4.7265625" style="308" customWidth="1"/>
    <col min="15113" max="15113" width="36.7265625" style="308" customWidth="1"/>
    <col min="15114" max="15117" width="6.7265625" style="308" customWidth="1"/>
    <col min="15118" max="15129" width="7.7265625" style="308" customWidth="1"/>
    <col min="15130" max="15367" width="8.7265625" style="308"/>
    <col min="15368" max="15368" width="4.7265625" style="308" customWidth="1"/>
    <col min="15369" max="15369" width="36.7265625" style="308" customWidth="1"/>
    <col min="15370" max="15373" width="6.7265625" style="308" customWidth="1"/>
    <col min="15374" max="15385" width="7.7265625" style="308" customWidth="1"/>
    <col min="15386" max="15623" width="8.7265625" style="308"/>
    <col min="15624" max="15624" width="4.7265625" style="308" customWidth="1"/>
    <col min="15625" max="15625" width="36.7265625" style="308" customWidth="1"/>
    <col min="15626" max="15629" width="6.7265625" style="308" customWidth="1"/>
    <col min="15630" max="15641" width="7.7265625" style="308" customWidth="1"/>
    <col min="15642" max="15879" width="8.7265625" style="308"/>
    <col min="15880" max="15880" width="4.7265625" style="308" customWidth="1"/>
    <col min="15881" max="15881" width="36.7265625" style="308" customWidth="1"/>
    <col min="15882" max="15885" width="6.7265625" style="308" customWidth="1"/>
    <col min="15886" max="15897" width="7.7265625" style="308" customWidth="1"/>
    <col min="15898" max="16135" width="8.7265625" style="308"/>
    <col min="16136" max="16136" width="4.7265625" style="308" customWidth="1"/>
    <col min="16137" max="16137" width="36.7265625" style="308" customWidth="1"/>
    <col min="16138" max="16141" width="6.7265625" style="308" customWidth="1"/>
    <col min="16142" max="16153" width="7.7265625" style="308" customWidth="1"/>
    <col min="16154" max="16384" width="8.7265625" style="308"/>
  </cols>
  <sheetData>
    <row r="1" spans="2:25" ht="40.5" customHeight="1" thickBot="1">
      <c r="B1" s="305"/>
      <c r="C1" s="306"/>
      <c r="D1" s="418" t="s">
        <v>2863</v>
      </c>
      <c r="E1" s="419"/>
      <c r="F1" s="376"/>
      <c r="G1" s="418" t="s">
        <v>2864</v>
      </c>
      <c r="H1" s="419"/>
      <c r="I1" s="376"/>
      <c r="J1" s="418" t="s">
        <v>2865</v>
      </c>
      <c r="K1" s="419"/>
      <c r="L1" s="376"/>
      <c r="M1" s="418" t="s">
        <v>2866</v>
      </c>
      <c r="N1" s="419"/>
      <c r="O1" s="394"/>
      <c r="P1" s="307" t="s">
        <v>2867</v>
      </c>
      <c r="Q1" s="307" t="s">
        <v>2868</v>
      </c>
      <c r="R1" s="418" t="s">
        <v>2869</v>
      </c>
      <c r="S1" s="419"/>
      <c r="T1" s="376"/>
      <c r="U1" s="418" t="s">
        <v>2870</v>
      </c>
      <c r="V1" s="419"/>
      <c r="W1" s="376"/>
      <c r="X1" s="418" t="s">
        <v>2871</v>
      </c>
      <c r="Y1" s="419"/>
    </row>
    <row r="2" spans="2:25" ht="13">
      <c r="B2" s="309" t="s">
        <v>2872</v>
      </c>
      <c r="C2" s="310"/>
      <c r="D2" s="311"/>
      <c r="E2" s="312"/>
      <c r="F2" s="377"/>
      <c r="G2" s="311"/>
      <c r="H2" s="312"/>
      <c r="I2" s="377"/>
      <c r="J2" s="311"/>
      <c r="K2" s="312"/>
      <c r="L2" s="377"/>
      <c r="M2" s="311"/>
      <c r="N2" s="312"/>
      <c r="O2" s="312"/>
      <c r="P2" s="313"/>
      <c r="Q2" s="313"/>
      <c r="R2" s="311"/>
      <c r="S2" s="312"/>
      <c r="T2" s="377"/>
      <c r="U2" s="311"/>
      <c r="V2" s="312"/>
      <c r="W2" s="377"/>
      <c r="X2" s="311"/>
      <c r="Y2" s="312"/>
    </row>
    <row r="3" spans="2:25">
      <c r="B3" s="311"/>
      <c r="C3" s="312" t="s">
        <v>2873</v>
      </c>
      <c r="D3" s="314">
        <v>47.92</v>
      </c>
      <c r="E3" s="312"/>
      <c r="F3" s="377"/>
      <c r="G3" s="314">
        <v>87</v>
      </c>
      <c r="H3" s="312"/>
      <c r="I3" s="377"/>
      <c r="J3" s="314">
        <v>110</v>
      </c>
      <c r="K3" s="312"/>
      <c r="L3" s="377"/>
      <c r="M3" s="314">
        <v>120</v>
      </c>
      <c r="N3" s="312"/>
      <c r="O3" s="312"/>
      <c r="P3" s="313"/>
      <c r="Q3" s="313"/>
      <c r="R3" s="314">
        <v>210.5</v>
      </c>
      <c r="S3" s="312"/>
      <c r="T3" s="377"/>
      <c r="U3" s="314">
        <v>270</v>
      </c>
      <c r="V3" s="312"/>
      <c r="W3" s="377"/>
      <c r="X3" s="314">
        <v>378.25</v>
      </c>
      <c r="Y3" s="312"/>
    </row>
    <row r="4" spans="2:25">
      <c r="B4" s="311"/>
      <c r="C4" s="312" t="s">
        <v>2874</v>
      </c>
      <c r="D4" s="314">
        <v>42.9</v>
      </c>
      <c r="E4" s="312"/>
      <c r="F4" s="377"/>
      <c r="G4" s="314">
        <v>81.599999999999994</v>
      </c>
      <c r="H4" s="312"/>
      <c r="I4" s="377"/>
      <c r="J4" s="314">
        <v>104.04</v>
      </c>
      <c r="K4" s="312"/>
      <c r="L4" s="377"/>
      <c r="M4" s="314">
        <v>110</v>
      </c>
      <c r="N4" s="312"/>
      <c r="O4" s="312"/>
      <c r="P4" s="315">
        <v>184</v>
      </c>
      <c r="Q4" s="315">
        <v>234</v>
      </c>
      <c r="R4" s="314">
        <v>200</v>
      </c>
      <c r="S4" s="312"/>
      <c r="T4" s="377"/>
      <c r="U4" s="314">
        <v>255</v>
      </c>
      <c r="V4" s="312"/>
      <c r="W4" s="377"/>
      <c r="X4" s="314">
        <v>350</v>
      </c>
      <c r="Y4" s="312"/>
    </row>
    <row r="5" spans="2:25">
      <c r="B5" s="311"/>
      <c r="C5" s="312" t="s">
        <v>2875</v>
      </c>
      <c r="D5" s="314">
        <v>14.66</v>
      </c>
      <c r="E5" s="312"/>
      <c r="F5" s="377"/>
      <c r="G5" s="314">
        <v>19.5</v>
      </c>
      <c r="H5" s="312"/>
      <c r="I5" s="377"/>
      <c r="J5" s="314">
        <v>21.08</v>
      </c>
      <c r="K5" s="312"/>
      <c r="L5" s="377"/>
      <c r="M5" s="314">
        <v>22.6</v>
      </c>
      <c r="N5" s="312"/>
      <c r="O5" s="312"/>
      <c r="P5" s="315">
        <v>25</v>
      </c>
      <c r="Q5" s="315">
        <v>28</v>
      </c>
      <c r="R5" s="314">
        <v>34</v>
      </c>
      <c r="S5" s="312"/>
      <c r="T5" s="377"/>
      <c r="U5" s="314">
        <v>38</v>
      </c>
      <c r="V5" s="312"/>
      <c r="W5" s="377"/>
      <c r="X5" s="314">
        <v>42</v>
      </c>
      <c r="Y5" s="312"/>
    </row>
    <row r="6" spans="2:25">
      <c r="B6" s="311"/>
      <c r="C6" s="312" t="s">
        <v>2876</v>
      </c>
      <c r="D6" s="316">
        <v>7.33</v>
      </c>
      <c r="E6" s="312"/>
      <c r="F6" s="377"/>
      <c r="G6" s="316">
        <v>11</v>
      </c>
      <c r="H6" s="312"/>
      <c r="I6" s="377"/>
      <c r="J6" s="316">
        <v>10.94</v>
      </c>
      <c r="K6" s="312"/>
      <c r="L6" s="377"/>
      <c r="M6" s="316">
        <v>12</v>
      </c>
      <c r="N6" s="312"/>
      <c r="O6" s="312"/>
      <c r="P6" s="315"/>
      <c r="Q6" s="315">
        <v>19.670000000000002</v>
      </c>
      <c r="R6" s="316">
        <v>19.5</v>
      </c>
      <c r="S6" s="312"/>
      <c r="T6" s="377"/>
      <c r="U6" s="316">
        <v>24</v>
      </c>
      <c r="V6" s="312"/>
      <c r="W6" s="377"/>
      <c r="X6" s="316">
        <v>27.5</v>
      </c>
      <c r="Y6" s="312"/>
    </row>
    <row r="7" spans="2:25">
      <c r="B7" s="311"/>
      <c r="C7" s="312" t="s">
        <v>2877</v>
      </c>
      <c r="D7" s="316">
        <v>2.67</v>
      </c>
      <c r="E7" s="312"/>
      <c r="F7" s="377"/>
      <c r="G7" s="316">
        <v>5.3</v>
      </c>
      <c r="H7" s="312"/>
      <c r="I7" s="377"/>
      <c r="J7" s="316">
        <v>6.5</v>
      </c>
      <c r="K7" s="312"/>
      <c r="L7" s="377"/>
      <c r="M7" s="316">
        <v>4.9000000000000004</v>
      </c>
      <c r="N7" s="312"/>
      <c r="O7" s="312"/>
      <c r="P7" s="313"/>
      <c r="Q7" s="313"/>
      <c r="R7" s="316">
        <v>10.5</v>
      </c>
      <c r="S7" s="312"/>
      <c r="T7" s="377"/>
      <c r="U7" s="316">
        <v>13</v>
      </c>
      <c r="V7" s="312"/>
      <c r="W7" s="377"/>
      <c r="X7" s="316">
        <v>13.5</v>
      </c>
      <c r="Y7" s="312"/>
    </row>
    <row r="8" spans="2:25">
      <c r="B8" s="311"/>
      <c r="C8" s="312" t="s">
        <v>2878</v>
      </c>
      <c r="D8" s="314">
        <f>D3*D5*D6/100</f>
        <v>51.49377776</v>
      </c>
      <c r="E8" s="312"/>
      <c r="F8" s="377"/>
      <c r="G8" s="314">
        <f>G3*G5*G6/100</f>
        <v>186.61500000000001</v>
      </c>
      <c r="H8" s="312"/>
      <c r="I8" s="377"/>
      <c r="J8" s="314">
        <f>J3*J5*J6/100</f>
        <v>253.67671999999996</v>
      </c>
      <c r="K8" s="312"/>
      <c r="L8" s="377"/>
      <c r="M8" s="314">
        <f>M3*M5*M6/100</f>
        <v>325.44</v>
      </c>
      <c r="N8" s="312"/>
      <c r="O8" s="312"/>
      <c r="P8" s="313"/>
      <c r="Q8" s="313"/>
      <c r="R8" s="314">
        <f>R3*R5*R6/100</f>
        <v>1395.615</v>
      </c>
      <c r="S8" s="312"/>
      <c r="T8" s="377"/>
      <c r="U8" s="314">
        <f>U3*U5*U6/100</f>
        <v>2462.4</v>
      </c>
      <c r="V8" s="312"/>
      <c r="W8" s="377"/>
      <c r="X8" s="314">
        <f>X3*X5*X6/100</f>
        <v>4368.7875000000004</v>
      </c>
      <c r="Y8" s="312"/>
    </row>
    <row r="9" spans="2:25">
      <c r="B9" s="311"/>
      <c r="C9" s="312" t="s">
        <v>2879</v>
      </c>
      <c r="D9" s="316">
        <v>16.5</v>
      </c>
      <c r="E9" s="312"/>
      <c r="F9" s="377"/>
      <c r="G9" s="316">
        <v>75.11</v>
      </c>
      <c r="H9" s="312"/>
      <c r="I9" s="377"/>
      <c r="J9" s="316">
        <v>117</v>
      </c>
      <c r="K9" s="312"/>
      <c r="L9" s="377"/>
      <c r="M9" s="316">
        <v>123</v>
      </c>
      <c r="N9" s="312"/>
      <c r="O9" s="312"/>
      <c r="P9" s="313"/>
      <c r="Q9" s="313"/>
      <c r="R9" s="317">
        <v>822</v>
      </c>
      <c r="S9" s="312"/>
      <c r="T9" s="377"/>
      <c r="U9" s="316">
        <v>1294.3</v>
      </c>
      <c r="V9" s="312"/>
      <c r="W9" s="377"/>
      <c r="X9" s="316">
        <v>2102</v>
      </c>
      <c r="Y9" s="312"/>
    </row>
    <row r="10" spans="2:25" ht="13" thickBot="1">
      <c r="B10" s="318"/>
      <c r="C10" s="319" t="s">
        <v>2880</v>
      </c>
      <c r="D10" s="318">
        <v>18.57</v>
      </c>
      <c r="E10" s="319"/>
      <c r="F10" s="378"/>
      <c r="G10" s="318">
        <v>91</v>
      </c>
      <c r="H10" s="319"/>
      <c r="I10" s="378"/>
      <c r="J10" s="318">
        <v>155</v>
      </c>
      <c r="K10" s="319"/>
      <c r="L10" s="378"/>
      <c r="M10" s="318">
        <v>163.5</v>
      </c>
      <c r="N10" s="319"/>
      <c r="O10" s="319"/>
      <c r="P10" s="320">
        <v>320</v>
      </c>
      <c r="Q10" s="320">
        <v>720</v>
      </c>
      <c r="R10" s="318">
        <v>1070</v>
      </c>
      <c r="S10" s="319"/>
      <c r="T10" s="378"/>
      <c r="U10" s="318">
        <v>1625.4</v>
      </c>
      <c r="V10" s="319"/>
      <c r="W10" s="378"/>
      <c r="X10" s="318">
        <v>2953</v>
      </c>
      <c r="Y10" s="319"/>
    </row>
    <row r="11" spans="2:25" ht="13">
      <c r="B11" s="321" t="s">
        <v>2881</v>
      </c>
      <c r="C11" s="322"/>
      <c r="D11" s="323"/>
      <c r="E11" s="322"/>
      <c r="F11" s="379"/>
      <c r="G11" s="323"/>
      <c r="H11" s="322"/>
      <c r="I11" s="379"/>
      <c r="J11" s="323"/>
      <c r="K11" s="322"/>
      <c r="L11" s="379"/>
      <c r="M11" s="323"/>
      <c r="N11" s="322"/>
      <c r="O11" s="322"/>
      <c r="P11" s="324"/>
      <c r="Q11" s="324"/>
      <c r="R11" s="323"/>
      <c r="S11" s="322"/>
      <c r="T11" s="379"/>
      <c r="U11" s="323"/>
      <c r="V11" s="322"/>
      <c r="W11" s="379"/>
      <c r="X11" s="323"/>
      <c r="Y11" s="322"/>
    </row>
    <row r="12" spans="2:25" ht="13">
      <c r="B12" s="309"/>
      <c r="C12" s="312" t="s">
        <v>2882</v>
      </c>
      <c r="D12" s="311"/>
      <c r="E12" s="312"/>
      <c r="F12" s="377"/>
      <c r="G12" s="311"/>
      <c r="H12" s="312"/>
      <c r="I12" s="377"/>
      <c r="J12" s="311">
        <v>2</v>
      </c>
      <c r="K12" s="312"/>
      <c r="L12" s="377"/>
      <c r="M12" s="311">
        <v>2</v>
      </c>
      <c r="N12" s="312"/>
      <c r="O12" s="312"/>
      <c r="P12" s="313">
        <v>3</v>
      </c>
      <c r="Q12" s="313">
        <v>5</v>
      </c>
      <c r="R12" s="311">
        <v>12</v>
      </c>
      <c r="S12" s="312"/>
      <c r="T12" s="377"/>
      <c r="U12" s="311">
        <v>13</v>
      </c>
      <c r="V12" s="312"/>
      <c r="W12" s="377"/>
      <c r="X12" s="311">
        <v>16</v>
      </c>
      <c r="Y12" s="312"/>
    </row>
    <row r="13" spans="2:25" ht="13">
      <c r="B13" s="309"/>
      <c r="C13" s="312" t="s">
        <v>132</v>
      </c>
      <c r="D13" s="311"/>
      <c r="E13" s="312"/>
      <c r="F13" s="377"/>
      <c r="G13" s="311"/>
      <c r="H13" s="312"/>
      <c r="I13" s="377"/>
      <c r="J13" s="311">
        <v>2</v>
      </c>
      <c r="K13" s="312"/>
      <c r="L13" s="377"/>
      <c r="M13" s="311">
        <v>2</v>
      </c>
      <c r="N13" s="312"/>
      <c r="O13" s="312"/>
      <c r="P13" s="313">
        <v>0</v>
      </c>
      <c r="Q13" s="313">
        <v>0</v>
      </c>
      <c r="R13" s="311">
        <v>8</v>
      </c>
      <c r="S13" s="312"/>
      <c r="T13" s="377"/>
      <c r="U13" s="311">
        <v>10</v>
      </c>
      <c r="V13" s="312"/>
      <c r="W13" s="377"/>
      <c r="X13" s="311">
        <v>14</v>
      </c>
      <c r="Y13" s="312"/>
    </row>
    <row r="14" spans="2:25" ht="13">
      <c r="B14" s="309"/>
      <c r="C14" s="312" t="s">
        <v>2883</v>
      </c>
      <c r="D14" s="311"/>
      <c r="E14" s="312"/>
      <c r="F14" s="377"/>
      <c r="G14" s="311"/>
      <c r="H14" s="312"/>
      <c r="I14" s="377"/>
      <c r="J14" s="311">
        <v>12</v>
      </c>
      <c r="K14" s="312"/>
      <c r="L14" s="377"/>
      <c r="M14" s="311">
        <v>12</v>
      </c>
      <c r="N14" s="312"/>
      <c r="O14" s="312"/>
      <c r="P14" s="313">
        <v>32</v>
      </c>
      <c r="Q14" s="313">
        <v>48</v>
      </c>
      <c r="R14" s="311">
        <v>66</v>
      </c>
      <c r="S14" s="312"/>
      <c r="T14" s="377"/>
      <c r="U14" s="311">
        <v>84</v>
      </c>
      <c r="V14" s="312"/>
      <c r="W14" s="377"/>
      <c r="X14" s="311">
        <v>144</v>
      </c>
      <c r="Y14" s="312"/>
    </row>
    <row r="15" spans="2:25">
      <c r="B15" s="311"/>
      <c r="C15" s="312" t="s">
        <v>2884</v>
      </c>
      <c r="D15" s="311">
        <v>4</v>
      </c>
      <c r="E15" s="312"/>
      <c r="F15" s="377"/>
      <c r="G15" s="311">
        <v>10</v>
      </c>
      <c r="H15" s="312"/>
      <c r="I15" s="377"/>
      <c r="J15" s="311">
        <f>SUM(J12:J14)</f>
        <v>16</v>
      </c>
      <c r="K15" s="312"/>
      <c r="L15" s="377"/>
      <c r="M15" s="311">
        <f>SUM(M12:M14)</f>
        <v>16</v>
      </c>
      <c r="N15" s="312"/>
      <c r="O15" s="312"/>
      <c r="P15" s="313">
        <f>SUM(P12:P14)</f>
        <v>35</v>
      </c>
      <c r="Q15" s="313">
        <f>SUM(Q12:Q14)</f>
        <v>53</v>
      </c>
      <c r="R15" s="311">
        <f>SUM(R12:R14)</f>
        <v>86</v>
      </c>
      <c r="S15" s="312"/>
      <c r="T15" s="377"/>
      <c r="U15" s="311">
        <f>SUM(U12:U14)</f>
        <v>107</v>
      </c>
      <c r="V15" s="312"/>
      <c r="W15" s="377"/>
      <c r="X15" s="311">
        <f>SUM(X12:X14)</f>
        <v>174</v>
      </c>
      <c r="Y15" s="312"/>
    </row>
    <row r="16" spans="2:25">
      <c r="B16" s="311"/>
      <c r="C16" s="312"/>
      <c r="D16" s="311"/>
      <c r="E16" s="312"/>
      <c r="F16" s="377"/>
      <c r="G16" s="311"/>
      <c r="H16" s="312"/>
      <c r="I16" s="377"/>
      <c r="J16" s="311"/>
      <c r="K16" s="312"/>
      <c r="L16" s="377"/>
      <c r="M16" s="311"/>
      <c r="N16" s="312"/>
      <c r="O16" s="312"/>
      <c r="P16" s="313"/>
      <c r="Q16" s="313"/>
      <c r="R16" s="311"/>
      <c r="S16" s="312"/>
      <c r="T16" s="377"/>
      <c r="U16" s="311"/>
      <c r="V16" s="312"/>
      <c r="W16" s="377"/>
      <c r="X16" s="311"/>
      <c r="Y16" s="312"/>
    </row>
    <row r="17" spans="1:26">
      <c r="B17" s="311"/>
      <c r="C17" s="312" t="s">
        <v>2885</v>
      </c>
      <c r="D17" s="311">
        <v>5</v>
      </c>
      <c r="E17" s="312"/>
      <c r="F17" s="377"/>
      <c r="G17" s="311">
        <v>1</v>
      </c>
      <c r="H17" s="312" t="s">
        <v>2886</v>
      </c>
      <c r="I17" s="377"/>
      <c r="J17" s="311"/>
      <c r="K17" s="312"/>
      <c r="L17" s="377"/>
      <c r="M17" s="311">
        <v>2</v>
      </c>
      <c r="N17" s="312" t="s">
        <v>2886</v>
      </c>
      <c r="O17" s="312"/>
      <c r="P17" s="313"/>
      <c r="Q17" s="313"/>
      <c r="R17" s="311"/>
      <c r="S17" s="312"/>
      <c r="T17" s="377"/>
      <c r="U17" s="311">
        <v>2</v>
      </c>
      <c r="V17" s="325"/>
      <c r="W17" s="402"/>
      <c r="X17" s="317">
        <v>6</v>
      </c>
      <c r="Y17" s="312"/>
    </row>
    <row r="18" spans="1:26">
      <c r="B18" s="311"/>
      <c r="C18" s="312" t="s">
        <v>2887</v>
      </c>
      <c r="D18" s="311"/>
      <c r="E18" s="312"/>
      <c r="F18" s="377"/>
      <c r="G18" s="311"/>
      <c r="H18" s="312"/>
      <c r="I18" s="377"/>
      <c r="J18" s="311"/>
      <c r="K18" s="312"/>
      <c r="L18" s="377"/>
      <c r="M18" s="311"/>
      <c r="N18" s="312"/>
      <c r="O18" s="312"/>
      <c r="P18" s="313"/>
      <c r="Q18" s="313"/>
      <c r="R18" s="311"/>
      <c r="S18" s="312"/>
      <c r="T18" s="377"/>
      <c r="U18" s="311"/>
      <c r="V18" s="325"/>
      <c r="W18" s="402"/>
      <c r="X18" s="317">
        <v>6</v>
      </c>
      <c r="Y18" s="312"/>
    </row>
    <row r="19" spans="1:26">
      <c r="B19" s="311"/>
      <c r="C19" s="312"/>
      <c r="D19" s="311"/>
      <c r="E19" s="312"/>
      <c r="F19" s="377"/>
      <c r="G19" s="311"/>
      <c r="H19" s="312"/>
      <c r="I19" s="377"/>
      <c r="J19" s="311"/>
      <c r="K19" s="312"/>
      <c r="L19" s="377"/>
      <c r="M19" s="311"/>
      <c r="N19" s="312"/>
      <c r="O19" s="312"/>
      <c r="P19" s="313"/>
      <c r="Q19" s="313"/>
      <c r="R19" s="311"/>
      <c r="S19" s="312"/>
      <c r="T19" s="377"/>
      <c r="U19" s="311"/>
      <c r="V19" s="312"/>
      <c r="W19" s="377"/>
      <c r="X19" s="311"/>
      <c r="Y19" s="312"/>
    </row>
    <row r="20" spans="1:26">
      <c r="B20" s="311"/>
      <c r="C20" s="312" t="s">
        <v>370</v>
      </c>
      <c r="D20" s="311">
        <v>9</v>
      </c>
      <c r="E20" s="312"/>
      <c r="F20" s="377"/>
      <c r="G20" s="311">
        <v>11</v>
      </c>
      <c r="H20" s="312"/>
      <c r="I20" s="377"/>
      <c r="J20" s="311">
        <f>SUM(J15:J18)</f>
        <v>16</v>
      </c>
      <c r="K20" s="312"/>
      <c r="L20" s="382"/>
      <c r="M20" s="311">
        <f>SUM(M15:M18)</f>
        <v>18</v>
      </c>
      <c r="N20" s="312"/>
      <c r="O20" s="312"/>
      <c r="P20" s="313">
        <f>SUM(P15:P18)</f>
        <v>35</v>
      </c>
      <c r="Q20" s="313">
        <f>SUM(Q15:Q18)</f>
        <v>53</v>
      </c>
      <c r="R20" s="311">
        <f>SUM(R15:R18)</f>
        <v>86</v>
      </c>
      <c r="S20" s="312"/>
      <c r="T20" s="377"/>
      <c r="U20" s="311">
        <f>SUM(U15:U18)</f>
        <v>109</v>
      </c>
      <c r="V20" s="312"/>
      <c r="W20" s="377"/>
      <c r="X20" s="311">
        <f>SUM(X15:X18)</f>
        <v>186</v>
      </c>
      <c r="Y20" s="312"/>
    </row>
    <row r="21" spans="1:26">
      <c r="B21" s="311"/>
      <c r="C21" s="325" t="s">
        <v>2888</v>
      </c>
      <c r="D21" s="311"/>
      <c r="E21" s="312"/>
      <c r="F21" s="377"/>
      <c r="G21" s="311"/>
      <c r="H21" s="312"/>
      <c r="I21" s="377"/>
      <c r="J21" s="311"/>
      <c r="K21" s="312"/>
      <c r="L21" s="377"/>
      <c r="M21" s="311"/>
      <c r="N21" s="312"/>
      <c r="O21" s="312"/>
      <c r="P21" s="313"/>
      <c r="Q21" s="313"/>
      <c r="R21" s="311"/>
      <c r="S21" s="312"/>
      <c r="T21" s="377"/>
      <c r="U21" s="311"/>
      <c r="V21" s="312"/>
      <c r="W21" s="377"/>
      <c r="X21" s="311"/>
      <c r="Y21" s="312"/>
    </row>
    <row r="22" spans="1:26" ht="13" thickBot="1">
      <c r="B22" s="318"/>
      <c r="C22" s="326" t="s">
        <v>2889</v>
      </c>
      <c r="D22" s="318"/>
      <c r="E22" s="319"/>
      <c r="F22" s="378"/>
      <c r="G22" s="327"/>
      <c r="H22" s="319"/>
      <c r="I22" s="378"/>
      <c r="J22" s="318"/>
      <c r="K22" s="319"/>
      <c r="L22" s="378"/>
      <c r="M22" s="318"/>
      <c r="N22" s="319"/>
      <c r="O22" s="319"/>
      <c r="P22" s="320"/>
      <c r="Q22" s="320"/>
      <c r="R22" s="318"/>
      <c r="S22" s="319"/>
      <c r="T22" s="378"/>
      <c r="U22" s="318"/>
      <c r="V22" s="319"/>
      <c r="W22" s="378"/>
      <c r="X22" s="318"/>
      <c r="Y22" s="319"/>
    </row>
    <row r="23" spans="1:26" ht="15">
      <c r="B23" s="309" t="s">
        <v>2890</v>
      </c>
      <c r="C23" s="310"/>
      <c r="D23" s="328"/>
      <c r="E23" s="310"/>
      <c r="F23" s="380"/>
      <c r="G23" s="328"/>
      <c r="H23" s="310"/>
      <c r="I23" s="380"/>
      <c r="J23" s="311"/>
      <c r="K23" s="312"/>
      <c r="L23" s="377"/>
      <c r="M23" s="311"/>
      <c r="N23" s="312"/>
      <c r="O23" s="312"/>
      <c r="P23" s="313"/>
      <c r="Q23" s="313"/>
      <c r="R23" s="311"/>
      <c r="S23" s="312"/>
      <c r="T23" s="377"/>
      <c r="U23" s="311"/>
      <c r="V23" s="312"/>
      <c r="W23" s="377"/>
      <c r="X23" s="311"/>
      <c r="Y23" s="312"/>
    </row>
    <row r="24" spans="1:26" ht="13">
      <c r="B24" s="329" t="s">
        <v>24</v>
      </c>
      <c r="C24" s="330"/>
      <c r="D24" s="331" t="s">
        <v>2891</v>
      </c>
      <c r="E24" s="332" t="s">
        <v>2892</v>
      </c>
      <c r="F24" s="381" t="s">
        <v>2957</v>
      </c>
      <c r="G24" s="331" t="s">
        <v>2891</v>
      </c>
      <c r="H24" s="332" t="s">
        <v>2892</v>
      </c>
      <c r="I24" s="381"/>
      <c r="J24" s="331" t="s">
        <v>2891</v>
      </c>
      <c r="K24" s="332" t="s">
        <v>2892</v>
      </c>
      <c r="L24" s="381"/>
      <c r="M24" s="331" t="s">
        <v>2891</v>
      </c>
      <c r="N24" s="332" t="s">
        <v>2892</v>
      </c>
      <c r="O24" s="395"/>
      <c r="P24" s="333" t="s">
        <v>370</v>
      </c>
      <c r="Q24" s="333" t="s">
        <v>370</v>
      </c>
      <c r="R24" s="331" t="s">
        <v>2891</v>
      </c>
      <c r="S24" s="332" t="s">
        <v>2892</v>
      </c>
      <c r="T24" s="381"/>
      <c r="U24" s="331" t="s">
        <v>2891</v>
      </c>
      <c r="V24" s="332" t="s">
        <v>2892</v>
      </c>
      <c r="W24" s="381"/>
      <c r="X24" s="331" t="s">
        <v>2891</v>
      </c>
      <c r="Y24" s="332" t="s">
        <v>2892</v>
      </c>
    </row>
    <row r="25" spans="1:26" ht="13">
      <c r="A25" s="375" t="str">
        <f>B25</f>
        <v>1.0</v>
      </c>
      <c r="B25" s="334" t="s">
        <v>2893</v>
      </c>
      <c r="C25" s="330" t="s">
        <v>2894</v>
      </c>
      <c r="D25" s="335"/>
      <c r="E25" s="336"/>
      <c r="F25" s="380"/>
      <c r="G25" s="335"/>
      <c r="H25" s="336"/>
      <c r="I25" s="380"/>
      <c r="J25" s="335"/>
      <c r="K25" s="336"/>
      <c r="L25" s="380"/>
      <c r="M25" s="335"/>
      <c r="N25" s="336"/>
      <c r="O25" s="310"/>
      <c r="P25" s="337"/>
      <c r="Q25" s="337"/>
      <c r="R25" s="335"/>
      <c r="S25" s="336"/>
      <c r="T25" s="380"/>
      <c r="U25" s="335"/>
      <c r="V25" s="336"/>
      <c r="W25" s="380"/>
      <c r="X25" s="335"/>
      <c r="Y25" s="336"/>
    </row>
    <row r="26" spans="1:26">
      <c r="A26" s="375" t="str">
        <f t="shared" ref="A26:A42" si="0">B26</f>
        <v>1.1</v>
      </c>
      <c r="B26" s="338" t="s">
        <v>2895</v>
      </c>
      <c r="C26" s="310" t="s">
        <v>2896</v>
      </c>
      <c r="D26" s="335"/>
      <c r="E26" s="339"/>
      <c r="F26" s="382"/>
      <c r="G26" s="335">
        <v>93</v>
      </c>
      <c r="H26" s="339">
        <v>4</v>
      </c>
      <c r="I26" s="382">
        <f>SUM(G26:H26)</f>
        <v>97</v>
      </c>
      <c r="J26" s="335">
        <v>0</v>
      </c>
      <c r="K26" s="339">
        <v>121</v>
      </c>
      <c r="L26" s="382">
        <f t="shared" ref="L26:L27" si="1">SUM(J26:K26)</f>
        <v>121</v>
      </c>
      <c r="M26" s="335">
        <v>0</v>
      </c>
      <c r="N26" s="339">
        <v>139.5</v>
      </c>
      <c r="O26" s="396">
        <f>SUM(M26:N26)</f>
        <v>139.5</v>
      </c>
      <c r="P26" s="340"/>
      <c r="Q26" s="340"/>
      <c r="R26" s="335"/>
      <c r="S26" s="339">
        <v>486.5</v>
      </c>
      <c r="T26" s="382">
        <f>SUM(S26)</f>
        <v>486.5</v>
      </c>
      <c r="U26" s="335">
        <v>798.5</v>
      </c>
      <c r="V26" s="336">
        <v>1325</v>
      </c>
      <c r="W26" s="380">
        <f>SUM(U26:V26)</f>
        <v>2123.5</v>
      </c>
      <c r="X26" s="335">
        <v>206</v>
      </c>
      <c r="Y26" s="339">
        <v>2352</v>
      </c>
      <c r="Z26" s="308">
        <f>SUM(X26:Y26)</f>
        <v>2558</v>
      </c>
    </row>
    <row r="27" spans="1:26">
      <c r="A27" s="375" t="str">
        <f t="shared" si="0"/>
        <v>1.2</v>
      </c>
      <c r="B27" s="338" t="s">
        <v>2897</v>
      </c>
      <c r="C27" s="310" t="s">
        <v>2898</v>
      </c>
      <c r="D27" s="335"/>
      <c r="E27" s="339"/>
      <c r="F27" s="382"/>
      <c r="G27" s="335">
        <v>0</v>
      </c>
      <c r="H27" s="339">
        <v>4</v>
      </c>
      <c r="I27" s="382">
        <f>SUM(G27:H27)</f>
        <v>4</v>
      </c>
      <c r="J27" s="335">
        <v>36</v>
      </c>
      <c r="K27" s="339">
        <v>9</v>
      </c>
      <c r="L27" s="382">
        <f t="shared" si="1"/>
        <v>45</v>
      </c>
      <c r="M27" s="335">
        <v>47.5</v>
      </c>
      <c r="N27" s="339">
        <v>28.5</v>
      </c>
      <c r="O27" s="396">
        <f>SUM(M27:N27)</f>
        <v>76</v>
      </c>
      <c r="P27" s="340"/>
      <c r="Q27" s="340">
        <v>452</v>
      </c>
      <c r="R27" s="335">
        <v>366.5</v>
      </c>
      <c r="S27" s="339">
        <v>8</v>
      </c>
      <c r="T27" s="382">
        <f>SUM(Q27:S27)</f>
        <v>826.5</v>
      </c>
      <c r="U27" s="335">
        <v>422</v>
      </c>
      <c r="V27" s="336">
        <v>28</v>
      </c>
      <c r="W27" s="380">
        <f>SUM(U27:V27)</f>
        <v>450</v>
      </c>
      <c r="X27" s="335">
        <v>1012</v>
      </c>
      <c r="Y27" s="339">
        <v>244</v>
      </c>
      <c r="Z27" s="308">
        <f>SUM(X27:Y27)</f>
        <v>1256</v>
      </c>
    </row>
    <row r="28" spans="1:26">
      <c r="A28" s="375" t="str">
        <f t="shared" si="0"/>
        <v>1.3</v>
      </c>
      <c r="B28" s="338" t="s">
        <v>2899</v>
      </c>
      <c r="C28" s="341" t="s">
        <v>2900</v>
      </c>
      <c r="D28" s="335"/>
      <c r="E28" s="339"/>
      <c r="F28" s="382"/>
      <c r="G28" s="335"/>
      <c r="H28" s="339"/>
      <c r="I28" s="382"/>
      <c r="J28" s="335"/>
      <c r="K28" s="339"/>
      <c r="L28" s="382"/>
      <c r="M28" s="335"/>
      <c r="N28" s="339"/>
      <c r="O28" s="396"/>
      <c r="P28" s="340"/>
      <c r="Q28" s="340"/>
      <c r="R28" s="335"/>
      <c r="S28" s="339"/>
      <c r="T28" s="382"/>
      <c r="U28" s="335">
        <v>136.5</v>
      </c>
      <c r="V28" s="336">
        <v>536</v>
      </c>
      <c r="W28" s="380">
        <f>SUM(W26:W27)</f>
        <v>2573.5</v>
      </c>
      <c r="X28" s="335"/>
      <c r="Y28" s="339">
        <v>482</v>
      </c>
      <c r="Z28" s="308">
        <f>SUM(X28:Y28)</f>
        <v>482</v>
      </c>
    </row>
    <row r="29" spans="1:26">
      <c r="A29" s="375" t="str">
        <f t="shared" si="0"/>
        <v>1.4</v>
      </c>
      <c r="B29" s="338" t="s">
        <v>2901</v>
      </c>
      <c r="C29" s="341" t="s">
        <v>2902</v>
      </c>
      <c r="D29" s="335"/>
      <c r="E29" s="339"/>
      <c r="F29" s="382"/>
      <c r="G29" s="335"/>
      <c r="H29" s="339"/>
      <c r="I29" s="382"/>
      <c r="J29" s="335"/>
      <c r="K29" s="339"/>
      <c r="L29" s="382"/>
      <c r="M29" s="335"/>
      <c r="N29" s="339"/>
      <c r="O29" s="396"/>
      <c r="P29" s="340"/>
      <c r="Q29" s="340"/>
      <c r="R29" s="335"/>
      <c r="S29" s="339"/>
      <c r="T29" s="382"/>
      <c r="U29" s="335"/>
      <c r="V29" s="336"/>
      <c r="W29" s="380"/>
      <c r="X29" s="335"/>
      <c r="Y29" s="339"/>
    </row>
    <row r="30" spans="1:26">
      <c r="A30" s="375" t="str">
        <f t="shared" si="0"/>
        <v>1.5</v>
      </c>
      <c r="B30" s="338" t="s">
        <v>2903</v>
      </c>
      <c r="C30" s="341" t="s">
        <v>2904</v>
      </c>
      <c r="D30" s="335"/>
      <c r="E30" s="339"/>
      <c r="F30" s="382"/>
      <c r="G30" s="335"/>
      <c r="H30" s="339"/>
      <c r="I30" s="382"/>
      <c r="J30" s="335"/>
      <c r="K30" s="339"/>
      <c r="L30" s="382"/>
      <c r="M30" s="335"/>
      <c r="N30" s="339"/>
      <c r="O30" s="396"/>
      <c r="P30" s="340"/>
      <c r="Q30" s="340"/>
      <c r="R30" s="335"/>
      <c r="S30" s="339"/>
      <c r="T30" s="382"/>
      <c r="U30" s="335"/>
      <c r="V30" s="336"/>
      <c r="W30" s="380"/>
      <c r="X30" s="335">
        <v>870</v>
      </c>
      <c r="Y30" s="339"/>
      <c r="Z30" s="308">
        <f>SUM(X30:Y30)</f>
        <v>870</v>
      </c>
    </row>
    <row r="31" spans="1:26">
      <c r="A31" s="375" t="str">
        <f t="shared" si="0"/>
        <v>1.6</v>
      </c>
      <c r="B31" s="338" t="s">
        <v>2905</v>
      </c>
      <c r="C31" s="341" t="s">
        <v>2906</v>
      </c>
      <c r="D31" s="335"/>
      <c r="E31" s="339"/>
      <c r="F31" s="382"/>
      <c r="G31" s="335"/>
      <c r="H31" s="339"/>
      <c r="I31" s="382"/>
      <c r="J31" s="335"/>
      <c r="K31" s="339"/>
      <c r="L31" s="382"/>
      <c r="M31" s="335"/>
      <c r="N31" s="339"/>
      <c r="O31" s="396"/>
      <c r="P31" s="340"/>
      <c r="Q31" s="340"/>
      <c r="R31" s="335"/>
      <c r="S31" s="339"/>
      <c r="T31" s="382"/>
      <c r="U31" s="335"/>
      <c r="V31" s="336"/>
      <c r="W31" s="380"/>
      <c r="X31" s="335"/>
      <c r="Y31" s="339"/>
    </row>
    <row r="32" spans="1:26">
      <c r="A32" s="375" t="str">
        <f t="shared" si="0"/>
        <v>1.7</v>
      </c>
      <c r="B32" s="338" t="s">
        <v>2907</v>
      </c>
      <c r="C32" s="341" t="s">
        <v>2908</v>
      </c>
      <c r="D32" s="335">
        <v>0</v>
      </c>
      <c r="E32" s="339">
        <v>85</v>
      </c>
      <c r="F32" s="382">
        <f>SUM(D32:E32)</f>
        <v>85</v>
      </c>
      <c r="G32" s="335"/>
      <c r="H32" s="339"/>
      <c r="I32" s="382"/>
      <c r="J32" s="335"/>
      <c r="K32" s="339"/>
      <c r="L32" s="382"/>
      <c r="M32" s="335"/>
      <c r="N32" s="339"/>
      <c r="O32" s="396"/>
      <c r="P32" s="340"/>
      <c r="Q32" s="340"/>
      <c r="R32" s="335"/>
      <c r="S32" s="339"/>
      <c r="T32" s="382"/>
      <c r="U32" s="335"/>
      <c r="V32" s="336">
        <v>157.5</v>
      </c>
      <c r="W32" s="380">
        <f>SUM(V32)</f>
        <v>157.5</v>
      </c>
      <c r="X32" s="335"/>
      <c r="Y32" s="339">
        <v>632</v>
      </c>
      <c r="Z32" s="308">
        <f>SUM(Y32)</f>
        <v>632</v>
      </c>
    </row>
    <row r="33" spans="1:26">
      <c r="A33" s="375" t="str">
        <f t="shared" si="0"/>
        <v>1.8</v>
      </c>
      <c r="B33" s="338" t="s">
        <v>2909</v>
      </c>
      <c r="C33" s="341" t="s">
        <v>2910</v>
      </c>
      <c r="D33" s="335"/>
      <c r="E33" s="342"/>
      <c r="F33" s="383"/>
      <c r="G33" s="335"/>
      <c r="H33" s="342"/>
      <c r="I33" s="383"/>
      <c r="J33" s="335"/>
      <c r="K33" s="342"/>
      <c r="L33" s="383"/>
      <c r="M33" s="335"/>
      <c r="N33" s="342"/>
      <c r="O33" s="397"/>
      <c r="P33" s="343"/>
      <c r="Q33" s="343"/>
      <c r="R33" s="335"/>
      <c r="S33" s="342"/>
      <c r="T33" s="383"/>
      <c r="U33" s="335"/>
      <c r="V33" s="344"/>
      <c r="W33" s="385"/>
      <c r="X33" s="335"/>
      <c r="Y33" s="342">
        <v>369</v>
      </c>
      <c r="Z33" s="308">
        <f>SUM(Y33)</f>
        <v>369</v>
      </c>
    </row>
    <row r="34" spans="1:26" ht="13">
      <c r="B34" s="345" t="s">
        <v>2911</v>
      </c>
      <c r="C34" s="346"/>
      <c r="D34" s="347">
        <f t="shared" ref="D34:Y34" si="2">SUM(D26:D33)</f>
        <v>0</v>
      </c>
      <c r="E34" s="348">
        <f t="shared" si="2"/>
        <v>85</v>
      </c>
      <c r="F34" s="384">
        <f>SUM(D34:E34)</f>
        <v>85</v>
      </c>
      <c r="G34" s="347">
        <f t="shared" si="2"/>
        <v>93</v>
      </c>
      <c r="H34" s="348">
        <f t="shared" si="2"/>
        <v>8</v>
      </c>
      <c r="I34" s="384">
        <f>SUM(G34:H34)</f>
        <v>101</v>
      </c>
      <c r="J34" s="347">
        <f t="shared" si="2"/>
        <v>36</v>
      </c>
      <c r="K34" s="348">
        <f t="shared" si="2"/>
        <v>130</v>
      </c>
      <c r="L34" s="384"/>
      <c r="M34" s="347">
        <f t="shared" si="2"/>
        <v>47.5</v>
      </c>
      <c r="N34" s="348">
        <f t="shared" si="2"/>
        <v>168</v>
      </c>
      <c r="O34" s="398">
        <f>SUM(M34:N34)</f>
        <v>215.5</v>
      </c>
      <c r="P34" s="349">
        <f t="shared" si="2"/>
        <v>0</v>
      </c>
      <c r="Q34" s="349">
        <f t="shared" si="2"/>
        <v>452</v>
      </c>
      <c r="R34" s="347">
        <f t="shared" si="2"/>
        <v>366.5</v>
      </c>
      <c r="S34" s="348">
        <f t="shared" si="2"/>
        <v>494.5</v>
      </c>
      <c r="T34" s="384">
        <f>SUM(R34:S34)</f>
        <v>861</v>
      </c>
      <c r="U34" s="347">
        <f t="shared" si="2"/>
        <v>1357</v>
      </c>
      <c r="V34" s="348">
        <f t="shared" si="2"/>
        <v>2046.5</v>
      </c>
      <c r="W34" s="384">
        <f>SUM(U34:V34)</f>
        <v>3403.5</v>
      </c>
      <c r="X34" s="347">
        <f t="shared" si="2"/>
        <v>2088</v>
      </c>
      <c r="Y34" s="348">
        <f t="shared" si="2"/>
        <v>4079</v>
      </c>
      <c r="Z34" s="308">
        <f>SUM(X34:Y34)</f>
        <v>6167</v>
      </c>
    </row>
    <row r="35" spans="1:26" ht="13">
      <c r="A35" s="375" t="str">
        <f t="shared" si="0"/>
        <v>2.0</v>
      </c>
      <c r="B35" s="334" t="s">
        <v>2912</v>
      </c>
      <c r="C35" s="350" t="s">
        <v>2913</v>
      </c>
      <c r="D35" s="335"/>
      <c r="E35" s="344"/>
      <c r="F35" s="385"/>
      <c r="G35" s="335"/>
      <c r="H35" s="344"/>
      <c r="I35" s="385"/>
      <c r="J35" s="335"/>
      <c r="K35" s="344"/>
      <c r="L35" s="385"/>
      <c r="M35" s="335"/>
      <c r="N35" s="344"/>
      <c r="O35" s="341"/>
      <c r="P35" s="351"/>
      <c r="Q35" s="351"/>
      <c r="R35" s="335"/>
      <c r="S35" s="344"/>
      <c r="T35" s="385"/>
      <c r="U35" s="335"/>
      <c r="V35" s="344"/>
      <c r="W35" s="385"/>
      <c r="X35" s="352"/>
      <c r="Y35" s="344"/>
    </row>
    <row r="36" spans="1:26">
      <c r="A36" s="375" t="str">
        <f t="shared" si="0"/>
        <v>2.1</v>
      </c>
      <c r="B36" s="338" t="s">
        <v>2914</v>
      </c>
      <c r="C36" s="341" t="s">
        <v>2915</v>
      </c>
      <c r="D36" s="335"/>
      <c r="E36" s="342"/>
      <c r="F36" s="383"/>
      <c r="G36" s="335">
        <v>271.5</v>
      </c>
      <c r="H36" s="342">
        <v>129</v>
      </c>
      <c r="I36" s="382">
        <f t="shared" ref="I36:I38" si="3">SUM(G36:H36)</f>
        <v>400.5</v>
      </c>
      <c r="J36" s="335">
        <v>511.5</v>
      </c>
      <c r="K36" s="342">
        <v>177.5</v>
      </c>
      <c r="L36" s="382">
        <f t="shared" ref="L36:L38" si="4">SUM(J36:K36)</f>
        <v>689</v>
      </c>
      <c r="M36" s="335">
        <v>479</v>
      </c>
      <c r="N36" s="342">
        <v>235.5</v>
      </c>
      <c r="O36" s="397">
        <f>SUM(M36:N36)</f>
        <v>714.5</v>
      </c>
      <c r="P36" s="343">
        <v>956</v>
      </c>
      <c r="Q36" s="343">
        <v>1285</v>
      </c>
      <c r="R36" s="335">
        <v>3847</v>
      </c>
      <c r="S36" s="342">
        <v>629.5</v>
      </c>
      <c r="T36" s="383">
        <f>SUM(R36:S36)</f>
        <v>4476.5</v>
      </c>
      <c r="U36" s="335">
        <v>4553</v>
      </c>
      <c r="V36" s="344">
        <v>1138.25</v>
      </c>
      <c r="W36" s="385">
        <f>SUM(U36:V36)</f>
        <v>5691.25</v>
      </c>
      <c r="X36" s="335">
        <v>5378</v>
      </c>
      <c r="Y36" s="342">
        <v>3942</v>
      </c>
      <c r="Z36" s="308">
        <f>SUM(X36:Y36)</f>
        <v>9320</v>
      </c>
    </row>
    <row r="37" spans="1:26">
      <c r="A37" s="408" t="str">
        <f t="shared" si="0"/>
        <v>2.2</v>
      </c>
      <c r="B37" s="338" t="s">
        <v>2916</v>
      </c>
      <c r="C37" s="341" t="s">
        <v>2917</v>
      </c>
      <c r="D37" s="335"/>
      <c r="E37" s="342"/>
      <c r="F37" s="383"/>
      <c r="G37" s="335">
        <v>202</v>
      </c>
      <c r="H37" s="342">
        <v>66.5</v>
      </c>
      <c r="I37" s="382">
        <f t="shared" si="3"/>
        <v>268.5</v>
      </c>
      <c r="J37" s="335">
        <v>183.5</v>
      </c>
      <c r="K37" s="342">
        <v>0</v>
      </c>
      <c r="L37" s="382">
        <f t="shared" si="4"/>
        <v>183.5</v>
      </c>
      <c r="M37" s="335">
        <v>234</v>
      </c>
      <c r="N37" s="342">
        <v>0</v>
      </c>
      <c r="O37" s="397">
        <f t="shared" ref="O37:O39" si="5">SUM(M37:N37)</f>
        <v>234</v>
      </c>
      <c r="P37" s="343">
        <v>56</v>
      </c>
      <c r="Q37" s="343">
        <f>56+77</f>
        <v>133</v>
      </c>
      <c r="R37" s="335">
        <v>896.5</v>
      </c>
      <c r="S37" s="342"/>
      <c r="T37" s="383">
        <f t="shared" ref="T37:T38" si="6">SUM(R37:S37)</f>
        <v>896.5</v>
      </c>
      <c r="U37" s="335">
        <v>1345.5</v>
      </c>
      <c r="V37" s="344">
        <v>81</v>
      </c>
      <c r="W37" s="385">
        <f>SUM(U37:V37)</f>
        <v>1426.5</v>
      </c>
      <c r="X37" s="335">
        <v>536</v>
      </c>
      <c r="Y37" s="342">
        <v>1772</v>
      </c>
      <c r="Z37" s="308">
        <f>SUM(X37:Y37)</f>
        <v>2308</v>
      </c>
    </row>
    <row r="38" spans="1:26">
      <c r="A38" s="375" t="s">
        <v>2960</v>
      </c>
      <c r="B38" s="338" t="s">
        <v>2918</v>
      </c>
      <c r="C38" s="341" t="s">
        <v>2919</v>
      </c>
      <c r="D38" s="335">
        <v>169</v>
      </c>
      <c r="E38" s="342">
        <v>0</v>
      </c>
      <c r="F38" s="383">
        <f>SUM(D38:E38)</f>
        <v>169</v>
      </c>
      <c r="G38" s="335">
        <v>15</v>
      </c>
      <c r="H38" s="342">
        <v>33.5</v>
      </c>
      <c r="I38" s="382">
        <f t="shared" si="3"/>
        <v>48.5</v>
      </c>
      <c r="J38" s="335">
        <v>36.5</v>
      </c>
      <c r="K38" s="342">
        <v>15.5</v>
      </c>
      <c r="L38" s="382">
        <f t="shared" si="4"/>
        <v>52</v>
      </c>
      <c r="M38" s="335">
        <v>64.5</v>
      </c>
      <c r="N38" s="342">
        <v>0</v>
      </c>
      <c r="O38" s="397">
        <f t="shared" si="5"/>
        <v>64.5</v>
      </c>
      <c r="P38" s="343">
        <v>155</v>
      </c>
      <c r="Q38" s="343">
        <v>198</v>
      </c>
      <c r="R38" s="335">
        <v>357.75</v>
      </c>
      <c r="S38" s="342"/>
      <c r="T38" s="383">
        <f t="shared" si="6"/>
        <v>357.75</v>
      </c>
      <c r="U38" s="335">
        <v>623</v>
      </c>
      <c r="V38" s="344"/>
      <c r="W38" s="385">
        <f>SUM(U38:V38)</f>
        <v>623</v>
      </c>
      <c r="X38" s="335">
        <v>755</v>
      </c>
      <c r="Y38" s="342">
        <v>85</v>
      </c>
      <c r="Z38" s="308">
        <f>SUM(X38:Y38)</f>
        <v>840</v>
      </c>
    </row>
    <row r="39" spans="1:26">
      <c r="A39" s="375"/>
      <c r="B39" s="338" t="s">
        <v>2920</v>
      </c>
      <c r="C39" s="341" t="s">
        <v>2921</v>
      </c>
      <c r="D39" s="335"/>
      <c r="E39" s="342"/>
      <c r="F39" s="383"/>
      <c r="G39" s="335"/>
      <c r="H39" s="342"/>
      <c r="I39" s="383"/>
      <c r="J39" s="335"/>
      <c r="K39" s="342"/>
      <c r="L39" s="383"/>
      <c r="M39" s="335">
        <v>0</v>
      </c>
      <c r="N39" s="342">
        <v>6.5</v>
      </c>
      <c r="O39" s="397">
        <f t="shared" si="5"/>
        <v>6.5</v>
      </c>
      <c r="P39" s="343"/>
      <c r="Q39" s="343"/>
      <c r="R39" s="335"/>
      <c r="S39" s="342"/>
      <c r="T39" s="383"/>
      <c r="U39" s="335">
        <v>32</v>
      </c>
      <c r="V39" s="344"/>
      <c r="W39" s="385">
        <f>SUM(U39:V39)</f>
        <v>32</v>
      </c>
      <c r="X39" s="335"/>
      <c r="Y39" s="342"/>
    </row>
    <row r="40" spans="1:26" ht="13">
      <c r="B40" s="345" t="s">
        <v>2922</v>
      </c>
      <c r="C40" s="346"/>
      <c r="D40" s="347">
        <f t="shared" ref="D40:Y40" si="7">SUM(D36:D39)</f>
        <v>169</v>
      </c>
      <c r="E40" s="348">
        <f t="shared" si="7"/>
        <v>0</v>
      </c>
      <c r="F40" s="384">
        <f>SUM(D40:E40)</f>
        <v>169</v>
      </c>
      <c r="G40" s="347">
        <f t="shared" si="7"/>
        <v>488.5</v>
      </c>
      <c r="H40" s="348">
        <f t="shared" si="7"/>
        <v>229</v>
      </c>
      <c r="I40" s="384">
        <f>SUM(G40:H40)</f>
        <v>717.5</v>
      </c>
      <c r="J40" s="347">
        <f t="shared" si="7"/>
        <v>731.5</v>
      </c>
      <c r="K40" s="348">
        <f t="shared" si="7"/>
        <v>193</v>
      </c>
      <c r="L40" s="384"/>
      <c r="M40" s="347">
        <f t="shared" si="7"/>
        <v>777.5</v>
      </c>
      <c r="N40" s="348">
        <f t="shared" si="7"/>
        <v>242</v>
      </c>
      <c r="O40" s="398">
        <f>SUM(M40:N40)</f>
        <v>1019.5</v>
      </c>
      <c r="P40" s="349">
        <f t="shared" si="7"/>
        <v>1167</v>
      </c>
      <c r="Q40" s="349">
        <f t="shared" si="7"/>
        <v>1616</v>
      </c>
      <c r="R40" s="347">
        <f t="shared" si="7"/>
        <v>5101.25</v>
      </c>
      <c r="S40" s="348">
        <f t="shared" si="7"/>
        <v>629.5</v>
      </c>
      <c r="T40" s="384">
        <f>SUM(R40:S40)</f>
        <v>5730.75</v>
      </c>
      <c r="U40" s="347">
        <f t="shared" si="7"/>
        <v>6553.5</v>
      </c>
      <c r="V40" s="348">
        <f t="shared" si="7"/>
        <v>1219.25</v>
      </c>
      <c r="W40" s="384">
        <f>SUM(U40:V40)</f>
        <v>7772.75</v>
      </c>
      <c r="X40" s="347">
        <f t="shared" si="7"/>
        <v>6669</v>
      </c>
      <c r="Y40" s="348">
        <f t="shared" si="7"/>
        <v>5799</v>
      </c>
      <c r="Z40" s="308">
        <f>SUM(X40:Y40)</f>
        <v>12468</v>
      </c>
    </row>
    <row r="41" spans="1:26" ht="13">
      <c r="A41" s="375" t="str">
        <f t="shared" si="0"/>
        <v>3.0</v>
      </c>
      <c r="B41" s="334" t="s">
        <v>2923</v>
      </c>
      <c r="C41" s="350" t="s">
        <v>2924</v>
      </c>
      <c r="D41" s="335"/>
      <c r="E41" s="344"/>
      <c r="F41" s="385"/>
      <c r="G41" s="335"/>
      <c r="H41" s="344"/>
      <c r="I41" s="385"/>
      <c r="J41" s="335"/>
      <c r="K41" s="344"/>
      <c r="L41" s="385"/>
      <c r="M41" s="335"/>
      <c r="N41" s="344"/>
      <c r="O41" s="341"/>
      <c r="P41" s="351"/>
      <c r="Q41" s="351"/>
      <c r="R41" s="335"/>
      <c r="S41" s="344"/>
      <c r="T41" s="385"/>
      <c r="U41" s="335"/>
      <c r="V41" s="344"/>
      <c r="W41" s="385"/>
      <c r="X41" s="335"/>
      <c r="Y41" s="342"/>
    </row>
    <row r="42" spans="1:26">
      <c r="A42" s="375" t="str">
        <f t="shared" si="0"/>
        <v>3.1</v>
      </c>
      <c r="B42" s="338" t="s">
        <v>2925</v>
      </c>
      <c r="C42" s="341" t="s">
        <v>2926</v>
      </c>
      <c r="D42" s="353">
        <v>0</v>
      </c>
      <c r="E42" s="342">
        <v>157</v>
      </c>
      <c r="F42" s="383">
        <f>SUM(D42:E42)</f>
        <v>157</v>
      </c>
      <c r="G42" s="353">
        <v>0</v>
      </c>
      <c r="H42" s="342">
        <v>215</v>
      </c>
      <c r="I42" s="382">
        <f t="shared" ref="I42:I44" si="8">SUM(G42:H42)</f>
        <v>215</v>
      </c>
      <c r="J42" s="353">
        <v>0</v>
      </c>
      <c r="K42" s="342">
        <v>210</v>
      </c>
      <c r="L42" s="382">
        <f t="shared" ref="L42:L44" si="9">SUM(J42:K42)</f>
        <v>210</v>
      </c>
      <c r="M42" s="353">
        <v>6</v>
      </c>
      <c r="N42" s="342">
        <v>210</v>
      </c>
      <c r="O42" s="397">
        <f t="shared" ref="O42:O44" si="10">SUM(M42:N42)</f>
        <v>216</v>
      </c>
      <c r="P42" s="343"/>
      <c r="Q42" s="343"/>
      <c r="R42" s="353">
        <v>358</v>
      </c>
      <c r="S42" s="342">
        <v>272</v>
      </c>
      <c r="T42" s="383">
        <f t="shared" ref="T42:T48" si="11">SUM(R42:S42)</f>
        <v>630</v>
      </c>
      <c r="U42" s="353">
        <v>500</v>
      </c>
      <c r="V42" s="344">
        <v>528</v>
      </c>
      <c r="W42" s="385">
        <f>SUM(U42:V42)</f>
        <v>1028</v>
      </c>
      <c r="X42" s="353">
        <v>869</v>
      </c>
      <c r="Y42" s="342">
        <v>862</v>
      </c>
      <c r="Z42" s="308">
        <f>SUM(X42:Y42)</f>
        <v>1731</v>
      </c>
    </row>
    <row r="43" spans="1:26">
      <c r="A43" s="375" t="s">
        <v>2958</v>
      </c>
      <c r="B43" s="338" t="s">
        <v>2927</v>
      </c>
      <c r="C43" s="341" t="s">
        <v>2928</v>
      </c>
      <c r="D43" s="353">
        <v>175</v>
      </c>
      <c r="E43" s="342">
        <v>0</v>
      </c>
      <c r="F43" s="383">
        <f t="shared" ref="F43:F47" si="12">SUM(D43:E43)</f>
        <v>175</v>
      </c>
      <c r="G43" s="353">
        <v>495</v>
      </c>
      <c r="H43" s="342">
        <v>0</v>
      </c>
      <c r="I43" s="382">
        <f t="shared" si="8"/>
        <v>495</v>
      </c>
      <c r="J43" s="353">
        <v>525</v>
      </c>
      <c r="K43" s="342">
        <v>0</v>
      </c>
      <c r="L43" s="382">
        <f t="shared" si="9"/>
        <v>525</v>
      </c>
      <c r="M43" s="353">
        <v>441</v>
      </c>
      <c r="N43" s="342">
        <v>0</v>
      </c>
      <c r="O43" s="397">
        <f t="shared" si="10"/>
        <v>441</v>
      </c>
      <c r="P43" s="343"/>
      <c r="Q43" s="343"/>
      <c r="R43" s="353">
        <v>2087.5</v>
      </c>
      <c r="S43" s="342"/>
      <c r="T43" s="383">
        <f t="shared" si="11"/>
        <v>2087.5</v>
      </c>
      <c r="U43" s="353">
        <v>3983</v>
      </c>
      <c r="V43" s="344"/>
      <c r="W43" s="385">
        <f>SUM(U43:V43)</f>
        <v>3983</v>
      </c>
      <c r="X43" s="353">
        <v>5079</v>
      </c>
      <c r="Y43" s="342"/>
      <c r="Z43" s="308">
        <f>SUM(X43:Y43)</f>
        <v>5079</v>
      </c>
    </row>
    <row r="44" spans="1:26">
      <c r="A44" s="375" t="s">
        <v>2959</v>
      </c>
      <c r="B44" s="338" t="s">
        <v>2929</v>
      </c>
      <c r="C44" s="341" t="s">
        <v>2930</v>
      </c>
      <c r="D44" s="353">
        <v>117.5</v>
      </c>
      <c r="E44" s="342">
        <v>0</v>
      </c>
      <c r="F44" s="383">
        <f t="shared" si="12"/>
        <v>117.5</v>
      </c>
      <c r="G44" s="353">
        <v>130.5</v>
      </c>
      <c r="H44" s="342">
        <v>48.5</v>
      </c>
      <c r="I44" s="382">
        <f t="shared" si="8"/>
        <v>179</v>
      </c>
      <c r="J44" s="353">
        <v>231</v>
      </c>
      <c r="K44" s="342">
        <v>45</v>
      </c>
      <c r="L44" s="382">
        <f t="shared" si="9"/>
        <v>276</v>
      </c>
      <c r="M44" s="353">
        <v>525</v>
      </c>
      <c r="N44" s="342">
        <v>91.5</v>
      </c>
      <c r="O44" s="397">
        <f t="shared" si="10"/>
        <v>616.5</v>
      </c>
      <c r="P44" s="343"/>
      <c r="Q44" s="343"/>
      <c r="R44" s="353">
        <v>1622</v>
      </c>
      <c r="S44" s="342">
        <v>683</v>
      </c>
      <c r="T44" s="383">
        <f t="shared" si="11"/>
        <v>2305</v>
      </c>
      <c r="U44" s="353">
        <v>3080.5</v>
      </c>
      <c r="V44" s="344">
        <v>1057.5</v>
      </c>
      <c r="W44" s="385">
        <f>SUM(U44:V44)</f>
        <v>4138</v>
      </c>
      <c r="X44" s="353">
        <v>2347</v>
      </c>
      <c r="Y44" s="342">
        <v>1627</v>
      </c>
      <c r="Z44" s="308">
        <f>SUM(X44:Y44)</f>
        <v>3974</v>
      </c>
    </row>
    <row r="45" spans="1:26">
      <c r="A45" s="375" t="s">
        <v>2934</v>
      </c>
      <c r="B45" s="338" t="s">
        <v>2931</v>
      </c>
      <c r="C45" s="341" t="s">
        <v>2932</v>
      </c>
      <c r="D45" s="353"/>
      <c r="E45" s="342"/>
      <c r="F45" s="383"/>
      <c r="G45" s="353"/>
      <c r="H45" s="342"/>
      <c r="I45" s="383"/>
      <c r="J45" s="353"/>
      <c r="K45" s="342"/>
      <c r="L45" s="383"/>
      <c r="M45" s="353"/>
      <c r="N45" s="342"/>
      <c r="O45" s="397"/>
      <c r="P45" s="343"/>
      <c r="Q45" s="343"/>
      <c r="R45" s="353">
        <v>278</v>
      </c>
      <c r="S45" s="342"/>
      <c r="T45" s="383">
        <f t="shared" si="11"/>
        <v>278</v>
      </c>
      <c r="U45" s="353">
        <v>552</v>
      </c>
      <c r="V45" s="344"/>
      <c r="W45" s="385">
        <f>SUM(U45:V45)</f>
        <v>552</v>
      </c>
      <c r="X45" s="353">
        <v>918</v>
      </c>
      <c r="Y45" s="342"/>
      <c r="Z45" s="308">
        <f t="shared" ref="Z45:Z48" si="13">SUM(X45:Y45)</f>
        <v>918</v>
      </c>
    </row>
    <row r="46" spans="1:26">
      <c r="A46" s="375" t="s">
        <v>2936</v>
      </c>
      <c r="B46" s="338" t="s">
        <v>2933</v>
      </c>
      <c r="C46" s="341" t="s">
        <v>2919</v>
      </c>
      <c r="D46" s="353">
        <v>0</v>
      </c>
      <c r="E46" s="339">
        <v>61</v>
      </c>
      <c r="F46" s="383">
        <f t="shared" si="12"/>
        <v>61</v>
      </c>
      <c r="G46" s="353">
        <v>0</v>
      </c>
      <c r="H46" s="339">
        <v>60.5</v>
      </c>
      <c r="I46" s="382">
        <f t="shared" ref="I46:I48" si="14">SUM(G46:H46)</f>
        <v>60.5</v>
      </c>
      <c r="J46" s="353">
        <v>58.5</v>
      </c>
      <c r="K46" s="339">
        <v>99.5</v>
      </c>
      <c r="L46" s="382">
        <f>SUM(J46:K46)</f>
        <v>158</v>
      </c>
      <c r="M46" s="353">
        <v>19.5</v>
      </c>
      <c r="N46" s="339">
        <v>28.5</v>
      </c>
      <c r="O46" s="397">
        <f t="shared" ref="O46:O47" si="15">SUM(M46:N46)</f>
        <v>48</v>
      </c>
      <c r="P46" s="340"/>
      <c r="Q46" s="340"/>
      <c r="R46" s="353">
        <v>1163</v>
      </c>
      <c r="S46" s="339">
        <v>12</v>
      </c>
      <c r="T46" s="383">
        <f t="shared" si="11"/>
        <v>1175</v>
      </c>
      <c r="U46" s="353">
        <v>1149</v>
      </c>
      <c r="V46" s="336"/>
      <c r="W46" s="380">
        <f>SUM(U46:V46)</f>
        <v>1149</v>
      </c>
      <c r="X46" s="353">
        <v>2688</v>
      </c>
      <c r="Y46" s="339"/>
      <c r="Z46" s="308">
        <f t="shared" si="13"/>
        <v>2688</v>
      </c>
    </row>
    <row r="47" spans="1:26">
      <c r="A47" s="375" t="s">
        <v>2940</v>
      </c>
      <c r="B47" s="338" t="s">
        <v>2934</v>
      </c>
      <c r="C47" s="341" t="s">
        <v>2935</v>
      </c>
      <c r="D47" s="353">
        <v>0</v>
      </c>
      <c r="E47" s="342">
        <v>0</v>
      </c>
      <c r="F47" s="383">
        <f t="shared" si="12"/>
        <v>0</v>
      </c>
      <c r="G47" s="353">
        <v>0</v>
      </c>
      <c r="H47" s="342">
        <v>0</v>
      </c>
      <c r="I47" s="382">
        <f t="shared" si="14"/>
        <v>0</v>
      </c>
      <c r="J47" s="353">
        <v>0</v>
      </c>
      <c r="K47" s="342">
        <v>0</v>
      </c>
      <c r="L47" s="382">
        <f t="shared" ref="L47:L48" si="16">SUM(J47:K47)</f>
        <v>0</v>
      </c>
      <c r="M47" s="353">
        <v>0</v>
      </c>
      <c r="N47" s="342">
        <v>0</v>
      </c>
      <c r="O47" s="397">
        <f t="shared" si="15"/>
        <v>0</v>
      </c>
      <c r="P47" s="343"/>
      <c r="Q47" s="343"/>
      <c r="R47" s="353"/>
      <c r="S47" s="342"/>
      <c r="T47" s="383"/>
      <c r="U47" s="353"/>
      <c r="V47" s="344"/>
      <c r="W47" s="385"/>
      <c r="X47" s="353"/>
      <c r="Y47" s="342"/>
    </row>
    <row r="48" spans="1:26">
      <c r="A48" s="375" t="s">
        <v>2938</v>
      </c>
      <c r="B48" s="338" t="s">
        <v>2936</v>
      </c>
      <c r="C48" s="341" t="s">
        <v>2937</v>
      </c>
      <c r="D48" s="353"/>
      <c r="E48" s="342"/>
      <c r="F48" s="383"/>
      <c r="G48" s="353">
        <v>109.5</v>
      </c>
      <c r="H48" s="342">
        <v>64</v>
      </c>
      <c r="I48" s="382">
        <f t="shared" si="14"/>
        <v>173.5</v>
      </c>
      <c r="J48" s="353">
        <v>113</v>
      </c>
      <c r="K48" s="342">
        <v>66</v>
      </c>
      <c r="L48" s="382">
        <f t="shared" si="16"/>
        <v>179</v>
      </c>
      <c r="M48" s="353">
        <v>69</v>
      </c>
      <c r="N48" s="342">
        <v>77</v>
      </c>
      <c r="O48" s="397">
        <f>SUM(M48:N48)</f>
        <v>146</v>
      </c>
      <c r="P48" s="343">
        <v>778</v>
      </c>
      <c r="Q48" s="343">
        <v>1024</v>
      </c>
      <c r="R48" s="353">
        <v>844.5</v>
      </c>
      <c r="S48" s="342">
        <v>152.5</v>
      </c>
      <c r="T48" s="383">
        <f t="shared" si="11"/>
        <v>997</v>
      </c>
      <c r="U48" s="353">
        <v>1639.5</v>
      </c>
      <c r="V48" s="344">
        <v>637</v>
      </c>
      <c r="W48" s="385">
        <f>SUM(U48:V48)</f>
        <v>2276.5</v>
      </c>
      <c r="X48" s="353">
        <v>1680</v>
      </c>
      <c r="Y48" s="342">
        <v>1360</v>
      </c>
      <c r="Z48" s="308">
        <f t="shared" si="13"/>
        <v>3040</v>
      </c>
    </row>
    <row r="49" spans="1:26">
      <c r="A49" s="375"/>
      <c r="B49" s="338" t="s">
        <v>2938</v>
      </c>
      <c r="C49" s="341" t="s">
        <v>2939</v>
      </c>
      <c r="D49" s="353"/>
      <c r="E49" s="342"/>
      <c r="F49" s="383"/>
      <c r="G49" s="353"/>
      <c r="H49" s="342"/>
      <c r="I49" s="383"/>
      <c r="J49" s="353"/>
      <c r="K49" s="342"/>
      <c r="L49" s="383"/>
      <c r="M49" s="353"/>
      <c r="N49" s="342"/>
      <c r="O49" s="397"/>
      <c r="P49" s="343"/>
      <c r="Q49" s="343"/>
      <c r="R49" s="353"/>
      <c r="S49" s="342"/>
      <c r="T49" s="383"/>
      <c r="U49" s="353">
        <v>49</v>
      </c>
      <c r="V49" s="344"/>
      <c r="W49" s="385">
        <f>SUM(U49:V49)</f>
        <v>49</v>
      </c>
      <c r="X49" s="353"/>
      <c r="Y49" s="342"/>
    </row>
    <row r="50" spans="1:26">
      <c r="A50" s="375"/>
      <c r="B50" s="338" t="s">
        <v>2940</v>
      </c>
      <c r="C50" s="341" t="s">
        <v>2941</v>
      </c>
      <c r="D50" s="353"/>
      <c r="E50" s="342"/>
      <c r="F50" s="383"/>
      <c r="G50" s="353"/>
      <c r="H50" s="342"/>
      <c r="I50" s="383"/>
      <c r="J50" s="353"/>
      <c r="K50" s="342"/>
      <c r="L50" s="383"/>
      <c r="M50" s="353"/>
      <c r="N50" s="342"/>
      <c r="O50" s="397"/>
      <c r="P50" s="343"/>
      <c r="Q50" s="343"/>
      <c r="R50" s="353"/>
      <c r="S50" s="342"/>
      <c r="T50" s="383"/>
      <c r="U50" s="353"/>
      <c r="V50" s="344"/>
      <c r="W50" s="385"/>
      <c r="X50" s="353"/>
      <c r="Y50" s="342"/>
    </row>
    <row r="51" spans="1:26" ht="13">
      <c r="B51" s="345" t="s">
        <v>2942</v>
      </c>
      <c r="C51" s="346"/>
      <c r="D51" s="347">
        <f t="shared" ref="D51:Y51" si="17">SUM(D42:D50)</f>
        <v>292.5</v>
      </c>
      <c r="E51" s="348">
        <f t="shared" si="17"/>
        <v>218</v>
      </c>
      <c r="F51" s="384">
        <f>SUM(D51:E51)</f>
        <v>510.5</v>
      </c>
      <c r="G51" s="347">
        <f t="shared" si="17"/>
        <v>735</v>
      </c>
      <c r="H51" s="348">
        <f t="shared" si="17"/>
        <v>388</v>
      </c>
      <c r="I51" s="384">
        <f>SUM(G51:H51)</f>
        <v>1123</v>
      </c>
      <c r="J51" s="347">
        <f t="shared" si="17"/>
        <v>927.5</v>
      </c>
      <c r="K51" s="348">
        <f t="shared" si="17"/>
        <v>420.5</v>
      </c>
      <c r="L51" s="384">
        <f>SUM(J51:K51)</f>
        <v>1348</v>
      </c>
      <c r="M51" s="347">
        <f t="shared" si="17"/>
        <v>1060.5</v>
      </c>
      <c r="N51" s="348">
        <f t="shared" si="17"/>
        <v>407</v>
      </c>
      <c r="O51" s="398">
        <f>SUM(M51:N51)</f>
        <v>1467.5</v>
      </c>
      <c r="P51" s="349">
        <f t="shared" si="17"/>
        <v>778</v>
      </c>
      <c r="Q51" s="349">
        <f t="shared" si="17"/>
        <v>1024</v>
      </c>
      <c r="R51" s="347">
        <f t="shared" si="17"/>
        <v>6353</v>
      </c>
      <c r="S51" s="348">
        <f t="shared" si="17"/>
        <v>1119.5</v>
      </c>
      <c r="T51" s="384">
        <f>SUM(R51:S51)</f>
        <v>7472.5</v>
      </c>
      <c r="U51" s="347">
        <f t="shared" si="17"/>
        <v>10953</v>
      </c>
      <c r="V51" s="348">
        <f t="shared" si="17"/>
        <v>2222.5</v>
      </c>
      <c r="W51" s="384">
        <f>SUM(U51:V51)</f>
        <v>13175.5</v>
      </c>
      <c r="X51" s="347">
        <f t="shared" si="17"/>
        <v>13581</v>
      </c>
      <c r="Y51" s="348">
        <f t="shared" si="17"/>
        <v>3849</v>
      </c>
      <c r="Z51" s="308">
        <f>SUM(X51:Y51)</f>
        <v>17430</v>
      </c>
    </row>
    <row r="52" spans="1:26" ht="13.5" thickBot="1">
      <c r="B52" s="354" t="s">
        <v>2943</v>
      </c>
      <c r="C52" s="355"/>
      <c r="D52" s="356">
        <f t="shared" ref="D52:N52" si="18">D34+D40+D51</f>
        <v>461.5</v>
      </c>
      <c r="E52" s="357">
        <f t="shared" si="18"/>
        <v>303</v>
      </c>
      <c r="F52" s="386"/>
      <c r="G52" s="356">
        <f t="shared" si="18"/>
        <v>1316.5</v>
      </c>
      <c r="H52" s="357">
        <f t="shared" si="18"/>
        <v>625</v>
      </c>
      <c r="I52" s="386"/>
      <c r="J52" s="356">
        <f t="shared" si="18"/>
        <v>1695</v>
      </c>
      <c r="K52" s="357">
        <f t="shared" si="18"/>
        <v>743.5</v>
      </c>
      <c r="L52" s="386"/>
      <c r="M52" s="356">
        <f t="shared" si="18"/>
        <v>1885.5</v>
      </c>
      <c r="N52" s="357">
        <f t="shared" si="18"/>
        <v>817</v>
      </c>
      <c r="O52" s="399"/>
      <c r="P52" s="358">
        <v>4912</v>
      </c>
      <c r="Q52" s="358">
        <v>8403</v>
      </c>
      <c r="R52" s="356">
        <f t="shared" ref="R52:Y52" si="19">R34+R40+R51</f>
        <v>11820.75</v>
      </c>
      <c r="S52" s="357">
        <f t="shared" si="19"/>
        <v>2243.5</v>
      </c>
      <c r="T52" s="386"/>
      <c r="U52" s="356">
        <f t="shared" si="19"/>
        <v>18863.5</v>
      </c>
      <c r="V52" s="357">
        <f t="shared" si="19"/>
        <v>5488.25</v>
      </c>
      <c r="W52" s="386"/>
      <c r="X52" s="356">
        <f t="shared" si="19"/>
        <v>22338</v>
      </c>
      <c r="Y52" s="357">
        <f t="shared" si="19"/>
        <v>13727</v>
      </c>
    </row>
    <row r="53" spans="1:26" ht="15">
      <c r="B53" s="321" t="s">
        <v>2944</v>
      </c>
      <c r="C53" s="359"/>
      <c r="D53" s="360"/>
      <c r="E53" s="359"/>
      <c r="F53" s="387"/>
      <c r="G53" s="323"/>
      <c r="H53" s="322"/>
      <c r="I53" s="379"/>
      <c r="J53" s="323"/>
      <c r="K53" s="322"/>
      <c r="L53" s="379"/>
      <c r="M53" s="323"/>
      <c r="N53" s="322"/>
      <c r="O53" s="322"/>
      <c r="P53" s="324"/>
      <c r="Q53" s="324"/>
      <c r="R53" s="323"/>
      <c r="S53" s="322"/>
      <c r="T53" s="379"/>
      <c r="U53" s="323"/>
      <c r="V53" s="322"/>
      <c r="W53" s="379"/>
      <c r="X53" s="323"/>
      <c r="Y53" s="322"/>
    </row>
    <row r="54" spans="1:26" ht="13">
      <c r="B54" s="329" t="s">
        <v>24</v>
      </c>
      <c r="C54" s="330"/>
      <c r="D54" s="361" t="s">
        <v>2891</v>
      </c>
      <c r="E54" s="332" t="s">
        <v>2892</v>
      </c>
      <c r="F54" s="381"/>
      <c r="G54" s="361" t="s">
        <v>2891</v>
      </c>
      <c r="H54" s="332" t="s">
        <v>2892</v>
      </c>
      <c r="I54" s="381"/>
      <c r="J54" s="361" t="s">
        <v>2891</v>
      </c>
      <c r="K54" s="332" t="s">
        <v>2892</v>
      </c>
      <c r="L54" s="381"/>
      <c r="M54" s="361" t="s">
        <v>2891</v>
      </c>
      <c r="N54" s="332" t="s">
        <v>2892</v>
      </c>
      <c r="O54" s="395"/>
      <c r="P54" s="333"/>
      <c r="Q54" s="333"/>
      <c r="R54" s="361" t="s">
        <v>2891</v>
      </c>
      <c r="S54" s="332" t="s">
        <v>2892</v>
      </c>
      <c r="T54" s="381"/>
      <c r="U54" s="331" t="s">
        <v>2891</v>
      </c>
      <c r="V54" s="332" t="s">
        <v>2892</v>
      </c>
      <c r="W54" s="381"/>
      <c r="X54" s="361" t="s">
        <v>2891</v>
      </c>
      <c r="Y54" s="332" t="s">
        <v>2892</v>
      </c>
    </row>
    <row r="55" spans="1:26" ht="13">
      <c r="B55" s="334" t="s">
        <v>2893</v>
      </c>
      <c r="C55" s="330" t="s">
        <v>2894</v>
      </c>
      <c r="D55" s="352"/>
      <c r="E55" s="336"/>
      <c r="F55" s="380"/>
      <c r="G55" s="352"/>
      <c r="H55" s="336"/>
      <c r="I55" s="380"/>
      <c r="J55" s="352"/>
      <c r="K55" s="362"/>
      <c r="L55" s="377"/>
      <c r="M55" s="352"/>
      <c r="N55" s="336"/>
      <c r="O55" s="310"/>
      <c r="P55" s="337"/>
      <c r="Q55" s="337"/>
      <c r="R55" s="352"/>
      <c r="S55" s="336"/>
      <c r="T55" s="380"/>
      <c r="U55" s="352"/>
      <c r="V55" s="336"/>
      <c r="W55" s="380"/>
      <c r="X55" s="352"/>
      <c r="Y55" s="362"/>
    </row>
    <row r="56" spans="1:26">
      <c r="B56" s="338" t="s">
        <v>2895</v>
      </c>
      <c r="C56" s="310" t="s">
        <v>2896</v>
      </c>
      <c r="D56" s="335"/>
      <c r="E56" s="339"/>
      <c r="F56" s="382"/>
      <c r="G56" s="335">
        <v>640</v>
      </c>
      <c r="H56" s="339">
        <v>3.5</v>
      </c>
      <c r="I56" s="382"/>
      <c r="J56" s="335">
        <v>0</v>
      </c>
      <c r="K56" s="339">
        <v>894</v>
      </c>
      <c r="L56" s="382"/>
      <c r="M56" s="335">
        <v>0</v>
      </c>
      <c r="N56" s="339">
        <v>1032</v>
      </c>
      <c r="O56" s="396"/>
      <c r="P56" s="340"/>
      <c r="Q56" s="340"/>
      <c r="R56" s="335"/>
      <c r="S56" s="339">
        <v>3892</v>
      </c>
      <c r="T56" s="382"/>
      <c r="U56" s="352">
        <v>6787.25</v>
      </c>
      <c r="V56" s="336">
        <v>12958.5</v>
      </c>
      <c r="W56" s="380"/>
      <c r="X56" s="335">
        <v>1648</v>
      </c>
      <c r="Y56" s="339">
        <v>18763</v>
      </c>
    </row>
    <row r="57" spans="1:26">
      <c r="B57" s="338" t="s">
        <v>2897</v>
      </c>
      <c r="C57" s="310" t="s">
        <v>2898</v>
      </c>
      <c r="D57" s="335"/>
      <c r="E57" s="339"/>
      <c r="F57" s="382"/>
      <c r="G57" s="335">
        <v>0</v>
      </c>
      <c r="H57" s="339">
        <v>29</v>
      </c>
      <c r="I57" s="382"/>
      <c r="J57" s="335">
        <v>261</v>
      </c>
      <c r="K57" s="339">
        <v>67.5</v>
      </c>
      <c r="L57" s="382"/>
      <c r="M57" s="335">
        <v>340</v>
      </c>
      <c r="N57" s="339">
        <v>102</v>
      </c>
      <c r="O57" s="396"/>
      <c r="P57" s="340"/>
      <c r="Q57" s="340"/>
      <c r="R57" s="335">
        <v>3053.75</v>
      </c>
      <c r="S57" s="339">
        <v>64</v>
      </c>
      <c r="T57" s="382"/>
      <c r="U57" s="352">
        <v>3770</v>
      </c>
      <c r="V57" s="336">
        <v>266</v>
      </c>
      <c r="W57" s="380"/>
      <c r="X57" s="335">
        <v>8895</v>
      </c>
      <c r="Y57" s="339">
        <v>1952</v>
      </c>
    </row>
    <row r="58" spans="1:26">
      <c r="B58" s="338" t="s">
        <v>2899</v>
      </c>
      <c r="C58" s="341" t="s">
        <v>2900</v>
      </c>
      <c r="D58" s="335"/>
      <c r="E58" s="339"/>
      <c r="F58" s="382"/>
      <c r="G58" s="335"/>
      <c r="H58" s="339"/>
      <c r="I58" s="382"/>
      <c r="J58" s="335"/>
      <c r="K58" s="339"/>
      <c r="L58" s="382"/>
      <c r="M58" s="335"/>
      <c r="N58" s="339"/>
      <c r="O58" s="396"/>
      <c r="P58" s="340"/>
      <c r="Q58" s="340"/>
      <c r="R58" s="335">
        <v>632</v>
      </c>
      <c r="S58" s="339"/>
      <c r="T58" s="382"/>
      <c r="U58" s="352">
        <v>1574.25</v>
      </c>
      <c r="V58" s="336">
        <v>9808</v>
      </c>
      <c r="W58" s="380"/>
      <c r="X58" s="335">
        <v>830</v>
      </c>
      <c r="Y58" s="339">
        <v>3856</v>
      </c>
    </row>
    <row r="59" spans="1:26">
      <c r="B59" s="338" t="s">
        <v>2901</v>
      </c>
      <c r="C59" s="341" t="s">
        <v>2902</v>
      </c>
      <c r="D59" s="335"/>
      <c r="E59" s="339"/>
      <c r="F59" s="382"/>
      <c r="G59" s="335"/>
      <c r="H59" s="339"/>
      <c r="I59" s="382"/>
      <c r="J59" s="335"/>
      <c r="K59" s="339"/>
      <c r="L59" s="382"/>
      <c r="M59" s="335"/>
      <c r="N59" s="339"/>
      <c r="O59" s="396"/>
      <c r="P59" s="340"/>
      <c r="Q59" s="340"/>
      <c r="R59" s="335"/>
      <c r="S59" s="339"/>
      <c r="T59" s="382"/>
      <c r="U59" s="352"/>
      <c r="V59" s="336"/>
      <c r="W59" s="380"/>
      <c r="X59" s="335"/>
      <c r="Y59" s="339"/>
    </row>
    <row r="60" spans="1:26">
      <c r="B60" s="338" t="s">
        <v>2903</v>
      </c>
      <c r="C60" s="341" t="s">
        <v>2904</v>
      </c>
      <c r="D60" s="335"/>
      <c r="E60" s="339"/>
      <c r="F60" s="382"/>
      <c r="G60" s="335"/>
      <c r="H60" s="339"/>
      <c r="I60" s="382"/>
      <c r="J60" s="335"/>
      <c r="K60" s="339"/>
      <c r="L60" s="382"/>
      <c r="M60" s="335"/>
      <c r="N60" s="339"/>
      <c r="O60" s="396"/>
      <c r="P60" s="340"/>
      <c r="Q60" s="340"/>
      <c r="R60" s="335"/>
      <c r="S60" s="339"/>
      <c r="T60" s="382"/>
      <c r="U60" s="352"/>
      <c r="V60" s="336"/>
      <c r="W60" s="380"/>
      <c r="X60" s="335">
        <v>7015</v>
      </c>
      <c r="Y60" s="339"/>
    </row>
    <row r="61" spans="1:26">
      <c r="B61" s="338" t="s">
        <v>2905</v>
      </c>
      <c r="C61" s="341" t="s">
        <v>2906</v>
      </c>
      <c r="D61" s="335"/>
      <c r="E61" s="339"/>
      <c r="F61" s="382"/>
      <c r="G61" s="335"/>
      <c r="H61" s="339"/>
      <c r="I61" s="382"/>
      <c r="J61" s="335"/>
      <c r="K61" s="339"/>
      <c r="L61" s="382"/>
      <c r="M61" s="335"/>
      <c r="N61" s="339"/>
      <c r="O61" s="396"/>
      <c r="P61" s="340"/>
      <c r="Q61" s="340"/>
      <c r="R61" s="335"/>
      <c r="S61" s="339"/>
      <c r="T61" s="382"/>
      <c r="U61" s="352"/>
      <c r="V61" s="336"/>
      <c r="W61" s="380"/>
      <c r="X61" s="335"/>
      <c r="Y61" s="339"/>
    </row>
    <row r="62" spans="1:26">
      <c r="B62" s="338" t="s">
        <v>2907</v>
      </c>
      <c r="C62" s="341" t="s">
        <v>2908</v>
      </c>
      <c r="D62" s="335">
        <v>0</v>
      </c>
      <c r="E62" s="339">
        <v>575</v>
      </c>
      <c r="F62" s="382"/>
      <c r="G62" s="335"/>
      <c r="H62" s="339"/>
      <c r="I62" s="382"/>
      <c r="J62" s="335"/>
      <c r="K62" s="339"/>
      <c r="L62" s="382"/>
      <c r="M62" s="335"/>
      <c r="N62" s="339"/>
      <c r="O62" s="396"/>
      <c r="P62" s="340"/>
      <c r="Q62" s="340"/>
      <c r="R62" s="335"/>
      <c r="S62" s="339"/>
      <c r="T62" s="382"/>
      <c r="U62" s="352"/>
      <c r="V62" s="336">
        <v>1260</v>
      </c>
      <c r="W62" s="380"/>
      <c r="X62" s="335"/>
      <c r="Y62" s="339">
        <v>6240</v>
      </c>
    </row>
    <row r="63" spans="1:26">
      <c r="B63" s="338" t="s">
        <v>2909</v>
      </c>
      <c r="C63" s="341" t="s">
        <v>2910</v>
      </c>
      <c r="D63" s="335"/>
      <c r="E63" s="339"/>
      <c r="F63" s="382"/>
      <c r="G63" s="335"/>
      <c r="H63" s="339"/>
      <c r="I63" s="382"/>
      <c r="J63" s="335"/>
      <c r="K63" s="339"/>
      <c r="L63" s="382"/>
      <c r="M63" s="335"/>
      <c r="N63" s="339"/>
      <c r="O63" s="396"/>
      <c r="P63" s="340"/>
      <c r="Q63" s="340"/>
      <c r="R63" s="335"/>
      <c r="S63" s="339"/>
      <c r="T63" s="382"/>
      <c r="U63" s="352"/>
      <c r="V63" s="336"/>
      <c r="W63" s="380"/>
      <c r="X63" s="335"/>
      <c r="Y63" s="339">
        <v>2952</v>
      </c>
    </row>
    <row r="64" spans="1:26" ht="13">
      <c r="B64" s="345" t="s">
        <v>2911</v>
      </c>
      <c r="C64" s="346"/>
      <c r="D64" s="347">
        <f t="shared" ref="D64:N64" si="20">SUM(D56:D63)</f>
        <v>0</v>
      </c>
      <c r="E64" s="348">
        <f t="shared" si="20"/>
        <v>575</v>
      </c>
      <c r="F64" s="384"/>
      <c r="G64" s="347">
        <f t="shared" si="20"/>
        <v>640</v>
      </c>
      <c r="H64" s="348">
        <f t="shared" si="20"/>
        <v>32.5</v>
      </c>
      <c r="I64" s="384"/>
      <c r="J64" s="347">
        <f t="shared" si="20"/>
        <v>261</v>
      </c>
      <c r="K64" s="348">
        <f t="shared" si="20"/>
        <v>961.5</v>
      </c>
      <c r="L64" s="384"/>
      <c r="M64" s="347">
        <f t="shared" si="20"/>
        <v>340</v>
      </c>
      <c r="N64" s="348">
        <f t="shared" si="20"/>
        <v>1134</v>
      </c>
      <c r="O64" s="398"/>
      <c r="P64" s="349"/>
      <c r="Q64" s="349"/>
      <c r="R64" s="347">
        <f t="shared" ref="R64:Y64" si="21">SUM(R56:R63)</f>
        <v>3685.75</v>
      </c>
      <c r="S64" s="348">
        <f t="shared" si="21"/>
        <v>3956</v>
      </c>
      <c r="T64" s="384"/>
      <c r="U64" s="347">
        <f t="shared" si="21"/>
        <v>12131.5</v>
      </c>
      <c r="V64" s="348">
        <f t="shared" si="21"/>
        <v>24292.5</v>
      </c>
      <c r="W64" s="384"/>
      <c r="X64" s="347">
        <f t="shared" si="21"/>
        <v>18388</v>
      </c>
      <c r="Y64" s="348">
        <f t="shared" si="21"/>
        <v>33763</v>
      </c>
    </row>
    <row r="65" spans="2:25" ht="13">
      <c r="B65" s="334" t="s">
        <v>2912</v>
      </c>
      <c r="C65" s="350" t="s">
        <v>2913</v>
      </c>
      <c r="D65" s="352"/>
      <c r="E65" s="336"/>
      <c r="F65" s="380"/>
      <c r="G65" s="352"/>
      <c r="H65" s="336"/>
      <c r="I65" s="380"/>
      <c r="J65" s="352"/>
      <c r="K65" s="362"/>
      <c r="L65" s="377"/>
      <c r="M65" s="352"/>
      <c r="N65" s="336"/>
      <c r="O65" s="310"/>
      <c r="P65" s="337"/>
      <c r="Q65" s="337"/>
      <c r="R65" s="352"/>
      <c r="S65" s="336"/>
      <c r="T65" s="380"/>
      <c r="U65" s="352"/>
      <c r="V65" s="336"/>
      <c r="W65" s="380"/>
      <c r="X65" s="352"/>
      <c r="Y65" s="336"/>
    </row>
    <row r="66" spans="2:25">
      <c r="B66" s="338" t="s">
        <v>2914</v>
      </c>
      <c r="C66" s="341" t="s">
        <v>2915</v>
      </c>
      <c r="D66" s="335"/>
      <c r="E66" s="339"/>
      <c r="F66" s="382"/>
      <c r="G66" s="335">
        <v>2140</v>
      </c>
      <c r="H66" s="339">
        <v>928.5</v>
      </c>
      <c r="I66" s="382"/>
      <c r="J66" s="335">
        <v>3850.5</v>
      </c>
      <c r="K66" s="339">
        <v>919.5</v>
      </c>
      <c r="L66" s="382"/>
      <c r="M66" s="335">
        <v>3912.5</v>
      </c>
      <c r="N66" s="339">
        <v>1705.5</v>
      </c>
      <c r="O66" s="396"/>
      <c r="P66" s="340"/>
      <c r="Q66" s="340"/>
      <c r="R66" s="335">
        <v>30776</v>
      </c>
      <c r="S66" s="339">
        <v>5036</v>
      </c>
      <c r="T66" s="382"/>
      <c r="U66" s="352">
        <v>38700.5</v>
      </c>
      <c r="V66" s="336">
        <v>9142</v>
      </c>
      <c r="W66" s="380"/>
      <c r="X66" s="335">
        <v>44852</v>
      </c>
      <c r="Y66" s="339">
        <v>32992</v>
      </c>
    </row>
    <row r="67" spans="2:25">
      <c r="B67" s="338" t="s">
        <v>2916</v>
      </c>
      <c r="C67" s="341" t="s">
        <v>2917</v>
      </c>
      <c r="D67" s="335"/>
      <c r="E67" s="339"/>
      <c r="F67" s="382"/>
      <c r="G67" s="335">
        <v>1454</v>
      </c>
      <c r="H67" s="339">
        <v>479</v>
      </c>
      <c r="I67" s="382"/>
      <c r="J67" s="335">
        <v>1284.5</v>
      </c>
      <c r="K67" s="339">
        <v>0</v>
      </c>
      <c r="L67" s="382"/>
      <c r="M67" s="335">
        <v>1854</v>
      </c>
      <c r="N67" s="339">
        <v>0</v>
      </c>
      <c r="O67" s="396"/>
      <c r="P67" s="340"/>
      <c r="Q67" s="340"/>
      <c r="R67" s="335">
        <v>7172</v>
      </c>
      <c r="S67" s="339"/>
      <c r="T67" s="382"/>
      <c r="U67" s="352">
        <v>11436.75</v>
      </c>
      <c r="V67" s="336">
        <v>648</v>
      </c>
      <c r="W67" s="380"/>
      <c r="X67" s="335">
        <v>4942</v>
      </c>
      <c r="Y67" s="339">
        <v>15084</v>
      </c>
    </row>
    <row r="68" spans="2:25">
      <c r="B68" s="338" t="s">
        <v>2918</v>
      </c>
      <c r="C68" s="341" t="s">
        <v>2919</v>
      </c>
      <c r="D68" s="335">
        <v>1139</v>
      </c>
      <c r="E68" s="339">
        <v>0</v>
      </c>
      <c r="F68" s="382"/>
      <c r="G68" s="335">
        <v>107.5</v>
      </c>
      <c r="H68" s="339">
        <v>241.5</v>
      </c>
      <c r="I68" s="382"/>
      <c r="J68" s="335">
        <v>255.5</v>
      </c>
      <c r="K68" s="339">
        <v>116</v>
      </c>
      <c r="L68" s="382"/>
      <c r="M68" s="335">
        <v>500</v>
      </c>
      <c r="N68" s="339">
        <v>0</v>
      </c>
      <c r="O68" s="396"/>
      <c r="P68" s="340"/>
      <c r="Q68" s="340"/>
      <c r="R68" s="335">
        <v>2862</v>
      </c>
      <c r="S68" s="339"/>
      <c r="T68" s="382"/>
      <c r="U68" s="352">
        <v>5023.5</v>
      </c>
      <c r="V68" s="336"/>
      <c r="W68" s="380"/>
      <c r="X68" s="335">
        <v>6073</v>
      </c>
      <c r="Y68" s="339">
        <v>705</v>
      </c>
    </row>
    <row r="69" spans="2:25">
      <c r="B69" s="338" t="s">
        <v>2920</v>
      </c>
      <c r="C69" s="341" t="s">
        <v>2921</v>
      </c>
      <c r="D69" s="335"/>
      <c r="E69" s="339"/>
      <c r="F69" s="382"/>
      <c r="G69" s="335"/>
      <c r="H69" s="339"/>
      <c r="I69" s="382"/>
      <c r="J69" s="335"/>
      <c r="K69" s="339"/>
      <c r="L69" s="382"/>
      <c r="M69" s="335">
        <v>0</v>
      </c>
      <c r="N69" s="339">
        <v>50.5</v>
      </c>
      <c r="O69" s="396"/>
      <c r="P69" s="340"/>
      <c r="Q69" s="340"/>
      <c r="R69" s="335"/>
      <c r="S69" s="339"/>
      <c r="T69" s="382"/>
      <c r="U69" s="352">
        <v>272</v>
      </c>
      <c r="V69" s="336"/>
      <c r="W69" s="380"/>
      <c r="X69" s="335"/>
      <c r="Y69" s="339"/>
    </row>
    <row r="70" spans="2:25" ht="13">
      <c r="B70" s="345" t="s">
        <v>2922</v>
      </c>
      <c r="C70" s="346"/>
      <c r="D70" s="347">
        <f t="shared" ref="D70:N70" si="22">SUM(D66:D69)</f>
        <v>1139</v>
      </c>
      <c r="E70" s="348">
        <f t="shared" si="22"/>
        <v>0</v>
      </c>
      <c r="F70" s="384"/>
      <c r="G70" s="347">
        <f t="shared" si="22"/>
        <v>3701.5</v>
      </c>
      <c r="H70" s="348">
        <f t="shared" si="22"/>
        <v>1649</v>
      </c>
      <c r="I70" s="384"/>
      <c r="J70" s="347">
        <f t="shared" si="22"/>
        <v>5390.5</v>
      </c>
      <c r="K70" s="348">
        <f t="shared" si="22"/>
        <v>1035.5</v>
      </c>
      <c r="L70" s="384"/>
      <c r="M70" s="347">
        <f t="shared" si="22"/>
        <v>6266.5</v>
      </c>
      <c r="N70" s="348">
        <f t="shared" si="22"/>
        <v>1756</v>
      </c>
      <c r="O70" s="398"/>
      <c r="P70" s="349"/>
      <c r="Q70" s="349"/>
      <c r="R70" s="347">
        <f t="shared" ref="R70:Y70" si="23">SUM(R66:R69)</f>
        <v>40810</v>
      </c>
      <c r="S70" s="348">
        <f t="shared" si="23"/>
        <v>5036</v>
      </c>
      <c r="T70" s="384"/>
      <c r="U70" s="347">
        <f t="shared" si="23"/>
        <v>55432.75</v>
      </c>
      <c r="V70" s="348">
        <f t="shared" si="23"/>
        <v>9790</v>
      </c>
      <c r="W70" s="384"/>
      <c r="X70" s="347">
        <f t="shared" si="23"/>
        <v>55867</v>
      </c>
      <c r="Y70" s="348">
        <f t="shared" si="23"/>
        <v>48781</v>
      </c>
    </row>
    <row r="71" spans="2:25" ht="13">
      <c r="B71" s="334" t="s">
        <v>2923</v>
      </c>
      <c r="C71" s="350" t="s">
        <v>2924</v>
      </c>
      <c r="D71" s="352"/>
      <c r="E71" s="336"/>
      <c r="F71" s="380"/>
      <c r="G71" s="352"/>
      <c r="H71" s="336"/>
      <c r="I71" s="380"/>
      <c r="J71" s="352"/>
      <c r="K71" s="362"/>
      <c r="L71" s="377"/>
      <c r="M71" s="352"/>
      <c r="N71" s="336"/>
      <c r="O71" s="310"/>
      <c r="P71" s="337"/>
      <c r="Q71" s="337"/>
      <c r="R71" s="352"/>
      <c r="S71" s="336"/>
      <c r="T71" s="380"/>
      <c r="U71" s="352"/>
      <c r="V71" s="336"/>
      <c r="W71" s="380"/>
      <c r="X71" s="335"/>
      <c r="Y71" s="339"/>
    </row>
    <row r="72" spans="2:25">
      <c r="B72" s="338" t="s">
        <v>2925</v>
      </c>
      <c r="C72" s="341" t="s">
        <v>2926</v>
      </c>
      <c r="D72" s="335">
        <v>0</v>
      </c>
      <c r="E72" s="339">
        <v>502.5</v>
      </c>
      <c r="F72" s="382"/>
      <c r="G72" s="335">
        <v>0</v>
      </c>
      <c r="H72" s="339">
        <v>1548</v>
      </c>
      <c r="I72" s="382"/>
      <c r="J72" s="335">
        <v>0</v>
      </c>
      <c r="K72" s="339">
        <v>1015</v>
      </c>
      <c r="L72" s="382"/>
      <c r="M72" s="335">
        <v>48</v>
      </c>
      <c r="N72" s="339">
        <v>1575</v>
      </c>
      <c r="O72" s="396"/>
      <c r="P72" s="340"/>
      <c r="Q72" s="340"/>
      <c r="R72" s="335">
        <v>2765</v>
      </c>
      <c r="S72" s="339">
        <v>2312</v>
      </c>
      <c r="T72" s="382"/>
      <c r="U72" s="352">
        <v>4640</v>
      </c>
      <c r="V72" s="336">
        <v>4224</v>
      </c>
      <c r="W72" s="380"/>
      <c r="X72" s="335">
        <v>6952</v>
      </c>
      <c r="Y72" s="339">
        <v>7358</v>
      </c>
    </row>
    <row r="73" spans="2:25">
      <c r="B73" s="338" t="s">
        <v>2927</v>
      </c>
      <c r="C73" s="341" t="s">
        <v>2928</v>
      </c>
      <c r="D73" s="335">
        <v>1122</v>
      </c>
      <c r="E73" s="339">
        <v>0</v>
      </c>
      <c r="F73" s="382"/>
      <c r="G73" s="335">
        <v>4296.5</v>
      </c>
      <c r="H73" s="339">
        <v>0</v>
      </c>
      <c r="I73" s="382"/>
      <c r="J73" s="335">
        <v>7087.5</v>
      </c>
      <c r="K73" s="339">
        <v>0</v>
      </c>
      <c r="L73" s="382"/>
      <c r="M73" s="335">
        <v>4299.5</v>
      </c>
      <c r="N73" s="339">
        <v>0</v>
      </c>
      <c r="O73" s="396"/>
      <c r="P73" s="340"/>
      <c r="Q73" s="340"/>
      <c r="R73" s="335">
        <v>18008.25</v>
      </c>
      <c r="S73" s="339"/>
      <c r="T73" s="382"/>
      <c r="U73" s="352">
        <v>37110.5</v>
      </c>
      <c r="V73" s="336"/>
      <c r="W73" s="380"/>
      <c r="X73" s="335">
        <v>62744</v>
      </c>
      <c r="Y73" s="339"/>
    </row>
    <row r="74" spans="2:25">
      <c r="B74" s="338" t="s">
        <v>2929</v>
      </c>
      <c r="C74" s="341" t="s">
        <v>2930</v>
      </c>
      <c r="D74" s="335">
        <v>685.5</v>
      </c>
      <c r="E74" s="339">
        <v>0</v>
      </c>
      <c r="F74" s="382"/>
      <c r="G74" s="335">
        <v>1448.5</v>
      </c>
      <c r="H74" s="339">
        <v>349.5</v>
      </c>
      <c r="I74" s="382"/>
      <c r="J74" s="335">
        <v>1907</v>
      </c>
      <c r="K74" s="339">
        <v>147.5</v>
      </c>
      <c r="L74" s="382"/>
      <c r="M74" s="335">
        <v>5801</v>
      </c>
      <c r="N74" s="339">
        <v>642.5</v>
      </c>
      <c r="O74" s="396"/>
      <c r="P74" s="340"/>
      <c r="Q74" s="340"/>
      <c r="R74" s="335">
        <v>13527.75</v>
      </c>
      <c r="S74" s="339">
        <v>5576</v>
      </c>
      <c r="T74" s="382"/>
      <c r="U74" s="352">
        <v>27685.5</v>
      </c>
      <c r="V74" s="336">
        <v>7511</v>
      </c>
      <c r="W74" s="380"/>
      <c r="X74" s="335">
        <v>30870</v>
      </c>
      <c r="Y74" s="339">
        <v>17383</v>
      </c>
    </row>
    <row r="75" spans="2:25">
      <c r="B75" s="338" t="s">
        <v>2931</v>
      </c>
      <c r="C75" s="341" t="s">
        <v>2932</v>
      </c>
      <c r="D75" s="335"/>
      <c r="E75" s="339"/>
      <c r="F75" s="382"/>
      <c r="G75" s="335"/>
      <c r="H75" s="339"/>
      <c r="I75" s="382"/>
      <c r="J75" s="335"/>
      <c r="K75" s="339"/>
      <c r="L75" s="382"/>
      <c r="M75" s="335"/>
      <c r="N75" s="339"/>
      <c r="O75" s="396"/>
      <c r="P75" s="340"/>
      <c r="Q75" s="340"/>
      <c r="R75" s="335">
        <v>2224</v>
      </c>
      <c r="S75" s="339"/>
      <c r="T75" s="382"/>
      <c r="U75" s="352">
        <v>4692</v>
      </c>
      <c r="V75" s="336"/>
      <c r="W75" s="380"/>
      <c r="X75" s="335">
        <v>7344</v>
      </c>
      <c r="Y75" s="339"/>
    </row>
    <row r="76" spans="2:25">
      <c r="B76" s="338" t="s">
        <v>2933</v>
      </c>
      <c r="C76" s="341" t="s">
        <v>2919</v>
      </c>
      <c r="D76" s="335">
        <v>0</v>
      </c>
      <c r="E76" s="339">
        <v>151</v>
      </c>
      <c r="F76" s="382"/>
      <c r="G76" s="335">
        <v>0</v>
      </c>
      <c r="H76" s="339">
        <v>347.5</v>
      </c>
      <c r="I76" s="382"/>
      <c r="J76" s="335">
        <v>436.5</v>
      </c>
      <c r="K76" s="339">
        <v>530.5</v>
      </c>
      <c r="L76" s="382"/>
      <c r="M76" s="335">
        <v>151</v>
      </c>
      <c r="N76" s="339">
        <v>133</v>
      </c>
      <c r="O76" s="396"/>
      <c r="P76" s="340"/>
      <c r="Q76" s="340"/>
      <c r="R76" s="335">
        <v>10052</v>
      </c>
      <c r="S76" s="339">
        <v>96</v>
      </c>
      <c r="T76" s="382"/>
      <c r="U76" s="352">
        <v>9703.5</v>
      </c>
      <c r="V76" s="336"/>
      <c r="W76" s="380"/>
      <c r="X76" s="335">
        <v>23305</v>
      </c>
      <c r="Y76" s="339"/>
    </row>
    <row r="77" spans="2:25">
      <c r="B77" s="338" t="s">
        <v>2934</v>
      </c>
      <c r="C77" s="341" t="s">
        <v>2935</v>
      </c>
      <c r="D77" s="335">
        <v>379.5</v>
      </c>
      <c r="E77" s="339">
        <v>0</v>
      </c>
      <c r="F77" s="382"/>
      <c r="G77" s="335">
        <v>1495</v>
      </c>
      <c r="H77" s="339">
        <v>0</v>
      </c>
      <c r="I77" s="382"/>
      <c r="J77" s="335">
        <v>1630.5</v>
      </c>
      <c r="K77" s="339">
        <v>0</v>
      </c>
      <c r="L77" s="382"/>
      <c r="M77" s="335">
        <v>2857</v>
      </c>
      <c r="N77" s="339">
        <v>0</v>
      </c>
      <c r="O77" s="396"/>
      <c r="P77" s="340"/>
      <c r="Q77" s="340"/>
      <c r="R77" s="335">
        <v>9351.5</v>
      </c>
      <c r="S77" s="339"/>
      <c r="T77" s="382"/>
      <c r="U77" s="352">
        <v>15285</v>
      </c>
      <c r="V77" s="336"/>
      <c r="W77" s="380"/>
      <c r="X77" s="335">
        <v>50524</v>
      </c>
      <c r="Y77" s="339"/>
    </row>
    <row r="78" spans="2:25">
      <c r="B78" s="338" t="s">
        <v>2936</v>
      </c>
      <c r="C78" s="341" t="s">
        <v>2937</v>
      </c>
      <c r="D78" s="335"/>
      <c r="E78" s="339"/>
      <c r="F78" s="382"/>
      <c r="G78" s="335">
        <v>815</v>
      </c>
      <c r="H78" s="339">
        <v>461</v>
      </c>
      <c r="I78" s="382"/>
      <c r="J78" s="335">
        <v>819</v>
      </c>
      <c r="K78" s="339">
        <v>495</v>
      </c>
      <c r="L78" s="382"/>
      <c r="M78" s="335">
        <v>535</v>
      </c>
      <c r="N78" s="339">
        <v>577.5</v>
      </c>
      <c r="O78" s="396"/>
      <c r="P78" s="340"/>
      <c r="Q78" s="340"/>
      <c r="R78" s="335">
        <v>6756</v>
      </c>
      <c r="S78" s="339">
        <v>1220</v>
      </c>
      <c r="T78" s="382"/>
      <c r="U78" s="352">
        <v>13935.75</v>
      </c>
      <c r="V78" s="336">
        <v>5309</v>
      </c>
      <c r="W78" s="380"/>
      <c r="X78" s="335">
        <v>14230</v>
      </c>
      <c r="Y78" s="339">
        <v>11245</v>
      </c>
    </row>
    <row r="79" spans="2:25">
      <c r="B79" s="338" t="s">
        <v>2938</v>
      </c>
      <c r="C79" s="341" t="s">
        <v>2939</v>
      </c>
      <c r="D79" s="335"/>
      <c r="E79" s="339"/>
      <c r="F79" s="382"/>
      <c r="G79" s="335"/>
      <c r="H79" s="339"/>
      <c r="I79" s="382"/>
      <c r="J79" s="335"/>
      <c r="K79" s="339"/>
      <c r="L79" s="382"/>
      <c r="M79" s="335"/>
      <c r="N79" s="339"/>
      <c r="O79" s="396"/>
      <c r="P79" s="340"/>
      <c r="Q79" s="340"/>
      <c r="R79" s="335"/>
      <c r="S79" s="339"/>
      <c r="T79" s="382"/>
      <c r="U79" s="352">
        <v>416.5</v>
      </c>
      <c r="V79" s="336"/>
      <c r="W79" s="380"/>
      <c r="X79" s="335"/>
      <c r="Y79" s="339"/>
    </row>
    <row r="80" spans="2:25">
      <c r="B80" s="338" t="s">
        <v>2940</v>
      </c>
      <c r="C80" s="341" t="s">
        <v>2941</v>
      </c>
      <c r="D80" s="335"/>
      <c r="E80" s="339"/>
      <c r="F80" s="382"/>
      <c r="G80" s="335"/>
      <c r="H80" s="339"/>
      <c r="I80" s="382"/>
      <c r="J80" s="335"/>
      <c r="K80" s="339"/>
      <c r="L80" s="382"/>
      <c r="M80" s="335"/>
      <c r="N80" s="339"/>
      <c r="O80" s="396"/>
      <c r="P80" s="340"/>
      <c r="Q80" s="340"/>
      <c r="R80" s="335"/>
      <c r="S80" s="339"/>
      <c r="T80" s="382"/>
      <c r="U80" s="352"/>
      <c r="V80" s="336"/>
      <c r="W80" s="380"/>
      <c r="X80" s="335"/>
      <c r="Y80" s="339"/>
    </row>
    <row r="81" spans="2:25" ht="13">
      <c r="B81" s="345" t="s">
        <v>2942</v>
      </c>
      <c r="C81" s="346"/>
      <c r="D81" s="363">
        <f t="shared" ref="D81:N81" si="24">SUM(D72:D80)</f>
        <v>2187</v>
      </c>
      <c r="E81" s="364">
        <f t="shared" si="24"/>
        <v>653.5</v>
      </c>
      <c r="F81" s="388"/>
      <c r="G81" s="363">
        <f t="shared" si="24"/>
        <v>8055</v>
      </c>
      <c r="H81" s="364">
        <f t="shared" si="24"/>
        <v>2706</v>
      </c>
      <c r="I81" s="388"/>
      <c r="J81" s="365">
        <f t="shared" si="24"/>
        <v>11880.5</v>
      </c>
      <c r="K81" s="366">
        <f t="shared" si="24"/>
        <v>2188</v>
      </c>
      <c r="L81" s="392"/>
      <c r="M81" s="365">
        <f t="shared" si="24"/>
        <v>13691.5</v>
      </c>
      <c r="N81" s="366">
        <f t="shared" si="24"/>
        <v>2928</v>
      </c>
      <c r="O81" s="400"/>
      <c r="P81" s="367"/>
      <c r="Q81" s="367"/>
      <c r="R81" s="365">
        <f t="shared" ref="R81:Y81" si="25">SUM(R72:R80)</f>
        <v>62684.5</v>
      </c>
      <c r="S81" s="366">
        <f t="shared" si="25"/>
        <v>9204</v>
      </c>
      <c r="T81" s="392"/>
      <c r="U81" s="365">
        <f t="shared" si="25"/>
        <v>113468.75</v>
      </c>
      <c r="V81" s="366">
        <f t="shared" si="25"/>
        <v>17044</v>
      </c>
      <c r="W81" s="392"/>
      <c r="X81" s="365">
        <f t="shared" si="25"/>
        <v>195969</v>
      </c>
      <c r="Y81" s="366">
        <f t="shared" si="25"/>
        <v>35986</v>
      </c>
    </row>
    <row r="82" spans="2:25" ht="13.5" thickBot="1">
      <c r="B82" s="354" t="s">
        <v>2943</v>
      </c>
      <c r="C82" s="355"/>
      <c r="D82" s="368">
        <f t="shared" ref="D82:N82" si="26">D64+D70+D81</f>
        <v>3326</v>
      </c>
      <c r="E82" s="369">
        <f t="shared" si="26"/>
        <v>1228.5</v>
      </c>
      <c r="F82" s="389"/>
      <c r="G82" s="368">
        <f t="shared" si="26"/>
        <v>12396.5</v>
      </c>
      <c r="H82" s="369">
        <f t="shared" si="26"/>
        <v>4387.5</v>
      </c>
      <c r="I82" s="389"/>
      <c r="J82" s="370">
        <f t="shared" si="26"/>
        <v>17532</v>
      </c>
      <c r="K82" s="371">
        <f t="shared" si="26"/>
        <v>4185</v>
      </c>
      <c r="L82" s="393"/>
      <c r="M82" s="370">
        <f t="shared" si="26"/>
        <v>20298</v>
      </c>
      <c r="N82" s="371">
        <f t="shared" si="26"/>
        <v>5818</v>
      </c>
      <c r="O82" s="401"/>
      <c r="P82" s="372"/>
      <c r="Q82" s="372">
        <v>117446</v>
      </c>
      <c r="R82" s="370">
        <f t="shared" ref="R82:Y82" si="27">R64+R70+R81</f>
        <v>107180.25</v>
      </c>
      <c r="S82" s="371">
        <f t="shared" si="27"/>
        <v>18196</v>
      </c>
      <c r="T82" s="393"/>
      <c r="U82" s="370">
        <f t="shared" si="27"/>
        <v>181033</v>
      </c>
      <c r="V82" s="371">
        <f t="shared" si="27"/>
        <v>51126.5</v>
      </c>
      <c r="W82" s="393"/>
      <c r="X82" s="370">
        <f t="shared" si="27"/>
        <v>270224</v>
      </c>
      <c r="Y82" s="371">
        <f t="shared" si="27"/>
        <v>118530</v>
      </c>
    </row>
    <row r="83" spans="2:25" ht="66" customHeight="1" thickBot="1">
      <c r="B83" s="305"/>
      <c r="C83" s="373" t="s">
        <v>2945</v>
      </c>
      <c r="D83" s="305"/>
      <c r="E83" s="306"/>
      <c r="F83" s="390"/>
      <c r="G83" s="420" t="s">
        <v>2946</v>
      </c>
      <c r="H83" s="421"/>
      <c r="I83" s="391"/>
      <c r="J83" s="305"/>
      <c r="K83" s="306"/>
      <c r="L83" s="390"/>
      <c r="M83" s="305"/>
      <c r="N83" s="306"/>
      <c r="O83" s="390"/>
      <c r="P83" s="420" t="s">
        <v>2947</v>
      </c>
      <c r="Q83" s="421"/>
      <c r="R83" s="420" t="s">
        <v>2948</v>
      </c>
      <c r="S83" s="421"/>
      <c r="T83" s="391"/>
      <c r="U83" s="420" t="s">
        <v>2948</v>
      </c>
      <c r="V83" s="421"/>
      <c r="W83" s="391"/>
      <c r="X83" s="420" t="s">
        <v>2949</v>
      </c>
      <c r="Y83" s="421"/>
    </row>
  </sheetData>
  <mergeCells count="12">
    <mergeCell ref="D1:E1"/>
    <mergeCell ref="G1:H1"/>
    <mergeCell ref="J1:K1"/>
    <mergeCell ref="M1:N1"/>
    <mergeCell ref="R1:S1"/>
    <mergeCell ref="X1:Y1"/>
    <mergeCell ref="G83:H83"/>
    <mergeCell ref="P83:Q83"/>
    <mergeCell ref="R83:S83"/>
    <mergeCell ref="U83:V83"/>
    <mergeCell ref="X83:Y83"/>
    <mergeCell ref="U1:V1"/>
  </mergeCells>
  <pageMargins left="0.25" right="0.25" top="0.5" bottom="0.5" header="0.5" footer="0.5"/>
  <pageSetup scale="49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846"/>
  <sheetViews>
    <sheetView tabSelected="1" zoomScaleNormal="100" workbookViewId="0">
      <selection activeCell="D117" sqref="D1:D1048576"/>
    </sheetView>
  </sheetViews>
  <sheetFormatPr defaultRowHeight="13"/>
  <cols>
    <col min="1" max="2" width="13.7265625" style="52" customWidth="1"/>
    <col min="3" max="3" width="40.1796875" style="52" customWidth="1"/>
    <col min="4" max="7" width="13.7265625" style="52" customWidth="1"/>
    <col min="8" max="8" width="8.7265625" style="52"/>
    <col min="9" max="9" width="10.26953125" style="52" bestFit="1" customWidth="1"/>
    <col min="10" max="10" width="8.81640625" style="52" bestFit="1" customWidth="1"/>
    <col min="11" max="11" width="10.26953125" style="52" bestFit="1" customWidth="1"/>
    <col min="12" max="12" width="8.7265625" style="52"/>
    <col min="13" max="13" width="17.36328125" style="52" customWidth="1"/>
    <col min="14" max="257" width="8.7265625" style="52"/>
    <col min="258" max="259" width="13.7265625" style="52" customWidth="1"/>
    <col min="260" max="260" width="40.1796875" style="52" customWidth="1"/>
    <col min="261" max="264" width="13.7265625" style="52" customWidth="1"/>
    <col min="265" max="513" width="8.7265625" style="52"/>
    <col min="514" max="515" width="13.7265625" style="52" customWidth="1"/>
    <col min="516" max="516" width="40.1796875" style="52" customWidth="1"/>
    <col min="517" max="520" width="13.7265625" style="52" customWidth="1"/>
    <col min="521" max="769" width="8.7265625" style="52"/>
    <col min="770" max="771" width="13.7265625" style="52" customWidth="1"/>
    <col min="772" max="772" width="40.1796875" style="52" customWidth="1"/>
    <col min="773" max="776" width="13.7265625" style="52" customWidth="1"/>
    <col min="777" max="1025" width="8.7265625" style="52"/>
    <col min="1026" max="1027" width="13.7265625" style="52" customWidth="1"/>
    <col min="1028" max="1028" width="40.1796875" style="52" customWidth="1"/>
    <col min="1029" max="1032" width="13.7265625" style="52" customWidth="1"/>
    <col min="1033" max="1281" width="8.7265625" style="52"/>
    <col min="1282" max="1283" width="13.7265625" style="52" customWidth="1"/>
    <col min="1284" max="1284" width="40.1796875" style="52" customWidth="1"/>
    <col min="1285" max="1288" width="13.7265625" style="52" customWidth="1"/>
    <col min="1289" max="1537" width="8.7265625" style="52"/>
    <col min="1538" max="1539" width="13.7265625" style="52" customWidth="1"/>
    <col min="1540" max="1540" width="40.1796875" style="52" customWidth="1"/>
    <col min="1541" max="1544" width="13.7265625" style="52" customWidth="1"/>
    <col min="1545" max="1793" width="8.7265625" style="52"/>
    <col min="1794" max="1795" width="13.7265625" style="52" customWidth="1"/>
    <col min="1796" max="1796" width="40.1796875" style="52" customWidth="1"/>
    <col min="1797" max="1800" width="13.7265625" style="52" customWidth="1"/>
    <col min="1801" max="2049" width="8.7265625" style="52"/>
    <col min="2050" max="2051" width="13.7265625" style="52" customWidth="1"/>
    <col min="2052" max="2052" width="40.1796875" style="52" customWidth="1"/>
    <col min="2053" max="2056" width="13.7265625" style="52" customWidth="1"/>
    <col min="2057" max="2305" width="8.7265625" style="52"/>
    <col min="2306" max="2307" width="13.7265625" style="52" customWidth="1"/>
    <col min="2308" max="2308" width="40.1796875" style="52" customWidth="1"/>
    <col min="2309" max="2312" width="13.7265625" style="52" customWidth="1"/>
    <col min="2313" max="2561" width="8.7265625" style="52"/>
    <col min="2562" max="2563" width="13.7265625" style="52" customWidth="1"/>
    <col min="2564" max="2564" width="40.1796875" style="52" customWidth="1"/>
    <col min="2565" max="2568" width="13.7265625" style="52" customWidth="1"/>
    <col min="2569" max="2817" width="8.7265625" style="52"/>
    <col min="2818" max="2819" width="13.7265625" style="52" customWidth="1"/>
    <col min="2820" max="2820" width="40.1796875" style="52" customWidth="1"/>
    <col min="2821" max="2824" width="13.7265625" style="52" customWidth="1"/>
    <col min="2825" max="3073" width="8.7265625" style="52"/>
    <col min="3074" max="3075" width="13.7265625" style="52" customWidth="1"/>
    <col min="3076" max="3076" width="40.1796875" style="52" customWidth="1"/>
    <col min="3077" max="3080" width="13.7265625" style="52" customWidth="1"/>
    <col min="3081" max="3329" width="8.7265625" style="52"/>
    <col min="3330" max="3331" width="13.7265625" style="52" customWidth="1"/>
    <col min="3332" max="3332" width="40.1796875" style="52" customWidth="1"/>
    <col min="3333" max="3336" width="13.7265625" style="52" customWidth="1"/>
    <col min="3337" max="3585" width="8.7265625" style="52"/>
    <col min="3586" max="3587" width="13.7265625" style="52" customWidth="1"/>
    <col min="3588" max="3588" width="40.1796875" style="52" customWidth="1"/>
    <col min="3589" max="3592" width="13.7265625" style="52" customWidth="1"/>
    <col min="3593" max="3841" width="8.7265625" style="52"/>
    <col min="3842" max="3843" width="13.7265625" style="52" customWidth="1"/>
    <col min="3844" max="3844" width="40.1796875" style="52" customWidth="1"/>
    <col min="3845" max="3848" width="13.7265625" style="52" customWidth="1"/>
    <col min="3849" max="4097" width="8.7265625" style="52"/>
    <col min="4098" max="4099" width="13.7265625" style="52" customWidth="1"/>
    <col min="4100" max="4100" width="40.1796875" style="52" customWidth="1"/>
    <col min="4101" max="4104" width="13.7265625" style="52" customWidth="1"/>
    <col min="4105" max="4353" width="8.7265625" style="52"/>
    <col min="4354" max="4355" width="13.7265625" style="52" customWidth="1"/>
    <col min="4356" max="4356" width="40.1796875" style="52" customWidth="1"/>
    <col min="4357" max="4360" width="13.7265625" style="52" customWidth="1"/>
    <col min="4361" max="4609" width="8.7265625" style="52"/>
    <col min="4610" max="4611" width="13.7265625" style="52" customWidth="1"/>
    <col min="4612" max="4612" width="40.1796875" style="52" customWidth="1"/>
    <col min="4613" max="4616" width="13.7265625" style="52" customWidth="1"/>
    <col min="4617" max="4865" width="8.7265625" style="52"/>
    <col min="4866" max="4867" width="13.7265625" style="52" customWidth="1"/>
    <col min="4868" max="4868" width="40.1796875" style="52" customWidth="1"/>
    <col min="4869" max="4872" width="13.7265625" style="52" customWidth="1"/>
    <col min="4873" max="5121" width="8.7265625" style="52"/>
    <col min="5122" max="5123" width="13.7265625" style="52" customWidth="1"/>
    <col min="5124" max="5124" width="40.1796875" style="52" customWidth="1"/>
    <col min="5125" max="5128" width="13.7265625" style="52" customWidth="1"/>
    <col min="5129" max="5377" width="8.7265625" style="52"/>
    <col min="5378" max="5379" width="13.7265625" style="52" customWidth="1"/>
    <col min="5380" max="5380" width="40.1796875" style="52" customWidth="1"/>
    <col min="5381" max="5384" width="13.7265625" style="52" customWidth="1"/>
    <col min="5385" max="5633" width="8.7265625" style="52"/>
    <col min="5634" max="5635" width="13.7265625" style="52" customWidth="1"/>
    <col min="5636" max="5636" width="40.1796875" style="52" customWidth="1"/>
    <col min="5637" max="5640" width="13.7265625" style="52" customWidth="1"/>
    <col min="5641" max="5889" width="8.7265625" style="52"/>
    <col min="5890" max="5891" width="13.7265625" style="52" customWidth="1"/>
    <col min="5892" max="5892" width="40.1796875" style="52" customWidth="1"/>
    <col min="5893" max="5896" width="13.7265625" style="52" customWidth="1"/>
    <col min="5897" max="6145" width="8.7265625" style="52"/>
    <col min="6146" max="6147" width="13.7265625" style="52" customWidth="1"/>
    <col min="6148" max="6148" width="40.1796875" style="52" customWidth="1"/>
    <col min="6149" max="6152" width="13.7265625" style="52" customWidth="1"/>
    <col min="6153" max="6401" width="8.7265625" style="52"/>
    <col min="6402" max="6403" width="13.7265625" style="52" customWidth="1"/>
    <col min="6404" max="6404" width="40.1796875" style="52" customWidth="1"/>
    <col min="6405" max="6408" width="13.7265625" style="52" customWidth="1"/>
    <col min="6409" max="6657" width="8.7265625" style="52"/>
    <col min="6658" max="6659" width="13.7265625" style="52" customWidth="1"/>
    <col min="6660" max="6660" width="40.1796875" style="52" customWidth="1"/>
    <col min="6661" max="6664" width="13.7265625" style="52" customWidth="1"/>
    <col min="6665" max="6913" width="8.7265625" style="52"/>
    <col min="6914" max="6915" width="13.7265625" style="52" customWidth="1"/>
    <col min="6916" max="6916" width="40.1796875" style="52" customWidth="1"/>
    <col min="6917" max="6920" width="13.7265625" style="52" customWidth="1"/>
    <col min="6921" max="7169" width="8.7265625" style="52"/>
    <col min="7170" max="7171" width="13.7265625" style="52" customWidth="1"/>
    <col min="7172" max="7172" width="40.1796875" style="52" customWidth="1"/>
    <col min="7173" max="7176" width="13.7265625" style="52" customWidth="1"/>
    <col min="7177" max="7425" width="8.7265625" style="52"/>
    <col min="7426" max="7427" width="13.7265625" style="52" customWidth="1"/>
    <col min="7428" max="7428" width="40.1796875" style="52" customWidth="1"/>
    <col min="7429" max="7432" width="13.7265625" style="52" customWidth="1"/>
    <col min="7433" max="7681" width="8.7265625" style="52"/>
    <col min="7682" max="7683" width="13.7265625" style="52" customWidth="1"/>
    <col min="7684" max="7684" width="40.1796875" style="52" customWidth="1"/>
    <col min="7685" max="7688" width="13.7265625" style="52" customWidth="1"/>
    <col min="7689" max="7937" width="8.7265625" style="52"/>
    <col min="7938" max="7939" width="13.7265625" style="52" customWidth="1"/>
    <col min="7940" max="7940" width="40.1796875" style="52" customWidth="1"/>
    <col min="7941" max="7944" width="13.7265625" style="52" customWidth="1"/>
    <col min="7945" max="8193" width="8.7265625" style="52"/>
    <col min="8194" max="8195" width="13.7265625" style="52" customWidth="1"/>
    <col min="8196" max="8196" width="40.1796875" style="52" customWidth="1"/>
    <col min="8197" max="8200" width="13.7265625" style="52" customWidth="1"/>
    <col min="8201" max="8449" width="8.7265625" style="52"/>
    <col min="8450" max="8451" width="13.7265625" style="52" customWidth="1"/>
    <col min="8452" max="8452" width="40.1796875" style="52" customWidth="1"/>
    <col min="8453" max="8456" width="13.7265625" style="52" customWidth="1"/>
    <col min="8457" max="8705" width="8.7265625" style="52"/>
    <col min="8706" max="8707" width="13.7265625" style="52" customWidth="1"/>
    <col min="8708" max="8708" width="40.1796875" style="52" customWidth="1"/>
    <col min="8709" max="8712" width="13.7265625" style="52" customWidth="1"/>
    <col min="8713" max="8961" width="8.7265625" style="52"/>
    <col min="8962" max="8963" width="13.7265625" style="52" customWidth="1"/>
    <col min="8964" max="8964" width="40.1796875" style="52" customWidth="1"/>
    <col min="8965" max="8968" width="13.7265625" style="52" customWidth="1"/>
    <col min="8969" max="9217" width="8.7265625" style="52"/>
    <col min="9218" max="9219" width="13.7265625" style="52" customWidth="1"/>
    <col min="9220" max="9220" width="40.1796875" style="52" customWidth="1"/>
    <col min="9221" max="9224" width="13.7265625" style="52" customWidth="1"/>
    <col min="9225" max="9473" width="8.7265625" style="52"/>
    <col min="9474" max="9475" width="13.7265625" style="52" customWidth="1"/>
    <col min="9476" max="9476" width="40.1796875" style="52" customWidth="1"/>
    <col min="9477" max="9480" width="13.7265625" style="52" customWidth="1"/>
    <col min="9481" max="9729" width="8.7265625" style="52"/>
    <col min="9730" max="9731" width="13.7265625" style="52" customWidth="1"/>
    <col min="9732" max="9732" width="40.1796875" style="52" customWidth="1"/>
    <col min="9733" max="9736" width="13.7265625" style="52" customWidth="1"/>
    <col min="9737" max="9985" width="8.7265625" style="52"/>
    <col min="9986" max="9987" width="13.7265625" style="52" customWidth="1"/>
    <col min="9988" max="9988" width="40.1796875" style="52" customWidth="1"/>
    <col min="9989" max="9992" width="13.7265625" style="52" customWidth="1"/>
    <col min="9993" max="10241" width="8.7265625" style="52"/>
    <col min="10242" max="10243" width="13.7265625" style="52" customWidth="1"/>
    <col min="10244" max="10244" width="40.1796875" style="52" customWidth="1"/>
    <col min="10245" max="10248" width="13.7265625" style="52" customWidth="1"/>
    <col min="10249" max="10497" width="8.7265625" style="52"/>
    <col min="10498" max="10499" width="13.7265625" style="52" customWidth="1"/>
    <col min="10500" max="10500" width="40.1796875" style="52" customWidth="1"/>
    <col min="10501" max="10504" width="13.7265625" style="52" customWidth="1"/>
    <col min="10505" max="10753" width="8.7265625" style="52"/>
    <col min="10754" max="10755" width="13.7265625" style="52" customWidth="1"/>
    <col min="10756" max="10756" width="40.1796875" style="52" customWidth="1"/>
    <col min="10757" max="10760" width="13.7265625" style="52" customWidth="1"/>
    <col min="10761" max="11009" width="8.7265625" style="52"/>
    <col min="11010" max="11011" width="13.7265625" style="52" customWidth="1"/>
    <col min="11012" max="11012" width="40.1796875" style="52" customWidth="1"/>
    <col min="11013" max="11016" width="13.7265625" style="52" customWidth="1"/>
    <col min="11017" max="11265" width="8.7265625" style="52"/>
    <col min="11266" max="11267" width="13.7265625" style="52" customWidth="1"/>
    <col min="11268" max="11268" width="40.1796875" style="52" customWidth="1"/>
    <col min="11269" max="11272" width="13.7265625" style="52" customWidth="1"/>
    <col min="11273" max="11521" width="8.7265625" style="52"/>
    <col min="11522" max="11523" width="13.7265625" style="52" customWidth="1"/>
    <col min="11524" max="11524" width="40.1796875" style="52" customWidth="1"/>
    <col min="11525" max="11528" width="13.7265625" style="52" customWidth="1"/>
    <col min="11529" max="11777" width="8.7265625" style="52"/>
    <col min="11778" max="11779" width="13.7265625" style="52" customWidth="1"/>
    <col min="11780" max="11780" width="40.1796875" style="52" customWidth="1"/>
    <col min="11781" max="11784" width="13.7265625" style="52" customWidth="1"/>
    <col min="11785" max="12033" width="8.7265625" style="52"/>
    <col min="12034" max="12035" width="13.7265625" style="52" customWidth="1"/>
    <col min="12036" max="12036" width="40.1796875" style="52" customWidth="1"/>
    <col min="12037" max="12040" width="13.7265625" style="52" customWidth="1"/>
    <col min="12041" max="12289" width="8.7265625" style="52"/>
    <col min="12290" max="12291" width="13.7265625" style="52" customWidth="1"/>
    <col min="12292" max="12292" width="40.1796875" style="52" customWidth="1"/>
    <col min="12293" max="12296" width="13.7265625" style="52" customWidth="1"/>
    <col min="12297" max="12545" width="8.7265625" style="52"/>
    <col min="12546" max="12547" width="13.7265625" style="52" customWidth="1"/>
    <col min="12548" max="12548" width="40.1796875" style="52" customWidth="1"/>
    <col min="12549" max="12552" width="13.7265625" style="52" customWidth="1"/>
    <col min="12553" max="12801" width="8.7265625" style="52"/>
    <col min="12802" max="12803" width="13.7265625" style="52" customWidth="1"/>
    <col min="12804" max="12804" width="40.1796875" style="52" customWidth="1"/>
    <col min="12805" max="12808" width="13.7265625" style="52" customWidth="1"/>
    <col min="12809" max="13057" width="8.7265625" style="52"/>
    <col min="13058" max="13059" width="13.7265625" style="52" customWidth="1"/>
    <col min="13060" max="13060" width="40.1796875" style="52" customWidth="1"/>
    <col min="13061" max="13064" width="13.7265625" style="52" customWidth="1"/>
    <col min="13065" max="13313" width="8.7265625" style="52"/>
    <col min="13314" max="13315" width="13.7265625" style="52" customWidth="1"/>
    <col min="13316" max="13316" width="40.1796875" style="52" customWidth="1"/>
    <col min="13317" max="13320" width="13.7265625" style="52" customWidth="1"/>
    <col min="13321" max="13569" width="8.7265625" style="52"/>
    <col min="13570" max="13571" width="13.7265625" style="52" customWidth="1"/>
    <col min="13572" max="13572" width="40.1796875" style="52" customWidth="1"/>
    <col min="13573" max="13576" width="13.7265625" style="52" customWidth="1"/>
    <col min="13577" max="13825" width="8.7265625" style="52"/>
    <col min="13826" max="13827" width="13.7265625" style="52" customWidth="1"/>
    <col min="13828" max="13828" width="40.1796875" style="52" customWidth="1"/>
    <col min="13829" max="13832" width="13.7265625" style="52" customWidth="1"/>
    <col min="13833" max="14081" width="8.7265625" style="52"/>
    <col min="14082" max="14083" width="13.7265625" style="52" customWidth="1"/>
    <col min="14084" max="14084" width="40.1796875" style="52" customWidth="1"/>
    <col min="14085" max="14088" width="13.7265625" style="52" customWidth="1"/>
    <col min="14089" max="14337" width="8.7265625" style="52"/>
    <col min="14338" max="14339" width="13.7265625" style="52" customWidth="1"/>
    <col min="14340" max="14340" width="40.1796875" style="52" customWidth="1"/>
    <col min="14341" max="14344" width="13.7265625" style="52" customWidth="1"/>
    <col min="14345" max="14593" width="8.7265625" style="52"/>
    <col min="14594" max="14595" width="13.7265625" style="52" customWidth="1"/>
    <col min="14596" max="14596" width="40.1796875" style="52" customWidth="1"/>
    <col min="14597" max="14600" width="13.7265625" style="52" customWidth="1"/>
    <col min="14601" max="14849" width="8.7265625" style="52"/>
    <col min="14850" max="14851" width="13.7265625" style="52" customWidth="1"/>
    <col min="14852" max="14852" width="40.1796875" style="52" customWidth="1"/>
    <col min="14853" max="14856" width="13.7265625" style="52" customWidth="1"/>
    <col min="14857" max="15105" width="8.7265625" style="52"/>
    <col min="15106" max="15107" width="13.7265625" style="52" customWidth="1"/>
    <col min="15108" max="15108" width="40.1796875" style="52" customWidth="1"/>
    <col min="15109" max="15112" width="13.7265625" style="52" customWidth="1"/>
    <col min="15113" max="15361" width="8.7265625" style="52"/>
    <col min="15362" max="15363" width="13.7265625" style="52" customWidth="1"/>
    <col min="15364" max="15364" width="40.1796875" style="52" customWidth="1"/>
    <col min="15365" max="15368" width="13.7265625" style="52" customWidth="1"/>
    <col min="15369" max="15617" width="8.7265625" style="52"/>
    <col min="15618" max="15619" width="13.7265625" style="52" customWidth="1"/>
    <col min="15620" max="15620" width="40.1796875" style="52" customWidth="1"/>
    <col min="15621" max="15624" width="13.7265625" style="52" customWidth="1"/>
    <col min="15625" max="15873" width="8.7265625" style="52"/>
    <col min="15874" max="15875" width="13.7265625" style="52" customWidth="1"/>
    <col min="15876" max="15876" width="40.1796875" style="52" customWidth="1"/>
    <col min="15877" max="15880" width="13.7265625" style="52" customWidth="1"/>
    <col min="15881" max="16129" width="8.7265625" style="52"/>
    <col min="16130" max="16131" width="13.7265625" style="52" customWidth="1"/>
    <col min="16132" max="16132" width="40.1796875" style="52" customWidth="1"/>
    <col min="16133" max="16136" width="13.7265625" style="52" customWidth="1"/>
    <col min="16137" max="16384" width="8.7265625" style="52"/>
  </cols>
  <sheetData>
    <row r="1" spans="1:14" ht="13.5" thickBot="1">
      <c r="A1" s="102" t="s">
        <v>1466</v>
      </c>
      <c r="B1" s="103" t="s">
        <v>1465</v>
      </c>
      <c r="C1" s="103" t="s">
        <v>1464</v>
      </c>
      <c r="D1" s="102" t="s">
        <v>23</v>
      </c>
      <c r="E1" s="101" t="s">
        <v>1463</v>
      </c>
      <c r="F1" s="101" t="s">
        <v>1462</v>
      </c>
      <c r="G1" s="100" t="s">
        <v>1461</v>
      </c>
    </row>
    <row r="2" spans="1:14" ht="13.5" thickTop="1">
      <c r="A2" s="99" t="s">
        <v>1460</v>
      </c>
      <c r="B2" s="98"/>
      <c r="C2" s="98"/>
      <c r="D2" s="78"/>
      <c r="E2" s="97"/>
      <c r="F2" s="97"/>
      <c r="G2" s="96"/>
    </row>
    <row r="3" spans="1:14">
      <c r="A3" s="87" t="s">
        <v>1459</v>
      </c>
      <c r="B3" s="98"/>
      <c r="C3" s="98"/>
      <c r="D3" s="78"/>
      <c r="E3" s="97"/>
      <c r="F3" s="97"/>
      <c r="G3" s="96"/>
    </row>
    <row r="4" spans="1:14">
      <c r="A4" s="69" t="s">
        <v>383</v>
      </c>
      <c r="B4" s="69" t="s">
        <v>1458</v>
      </c>
      <c r="C4" s="69" t="s">
        <v>1457</v>
      </c>
      <c r="D4" s="71" t="s">
        <v>1456</v>
      </c>
      <c r="E4" s="70">
        <v>867</v>
      </c>
      <c r="F4" s="70">
        <v>8506</v>
      </c>
      <c r="G4" s="66">
        <v>2140</v>
      </c>
      <c r="M4" s="1">
        <v>1</v>
      </c>
    </row>
    <row r="5" spans="1:14">
      <c r="A5" s="81" t="s">
        <v>383</v>
      </c>
      <c r="B5" s="81" t="s">
        <v>1455</v>
      </c>
      <c r="C5" s="81" t="s">
        <v>1454</v>
      </c>
      <c r="D5" s="80" t="s">
        <v>1453</v>
      </c>
      <c r="E5" s="79">
        <v>354</v>
      </c>
      <c r="F5" s="79">
        <v>3246</v>
      </c>
      <c r="G5" s="78">
        <v>2140</v>
      </c>
      <c r="M5" s="7">
        <v>1.1000000000000001</v>
      </c>
    </row>
    <row r="6" spans="1:14">
      <c r="A6" s="69" t="s">
        <v>428</v>
      </c>
      <c r="B6" s="69" t="s">
        <v>1452</v>
      </c>
      <c r="C6" s="69" t="s">
        <v>1451</v>
      </c>
      <c r="D6" s="71" t="s">
        <v>1450</v>
      </c>
      <c r="E6" s="70">
        <v>60</v>
      </c>
      <c r="F6" s="70">
        <v>510</v>
      </c>
      <c r="G6" s="66">
        <v>4240</v>
      </c>
      <c r="M6" s="8">
        <v>1.1100000000000001</v>
      </c>
    </row>
    <row r="7" spans="1:14">
      <c r="A7" s="77" t="s">
        <v>374</v>
      </c>
      <c r="B7" s="77" t="s">
        <v>1449</v>
      </c>
      <c r="C7" s="77" t="s">
        <v>1448</v>
      </c>
      <c r="D7" s="76" t="s">
        <v>1445</v>
      </c>
      <c r="E7" s="75">
        <v>483</v>
      </c>
      <c r="F7" s="75">
        <v>4106</v>
      </c>
      <c r="G7" s="74">
        <v>4210</v>
      </c>
      <c r="I7" s="52">
        <v>1.111</v>
      </c>
      <c r="J7" s="104">
        <f>SUM(E4:E5)/3.2808^2</f>
        <v>113.43737062007997</v>
      </c>
      <c r="K7" s="104">
        <f>SUM(F4:F5)/3.2808^3</f>
        <v>332.79172124355017</v>
      </c>
      <c r="M7" s="9">
        <v>1.111</v>
      </c>
    </row>
    <row r="8" spans="1:14">
      <c r="A8" s="69" t="s">
        <v>374</v>
      </c>
      <c r="B8" s="69" t="s">
        <v>1447</v>
      </c>
      <c r="C8" s="69" t="s">
        <v>1446</v>
      </c>
      <c r="D8" s="71" t="s">
        <v>1445</v>
      </c>
      <c r="E8" s="70">
        <v>92</v>
      </c>
      <c r="F8" s="70">
        <v>719</v>
      </c>
      <c r="G8" s="66">
        <v>4110</v>
      </c>
      <c r="M8" s="9">
        <v>1.1120000000000001</v>
      </c>
    </row>
    <row r="9" spans="1:14">
      <c r="A9" s="69" t="s">
        <v>393</v>
      </c>
      <c r="B9" s="69" t="s">
        <v>1444</v>
      </c>
      <c r="C9" s="69" t="s">
        <v>1443</v>
      </c>
      <c r="D9" s="71" t="s">
        <v>1442</v>
      </c>
      <c r="E9" s="70">
        <v>210</v>
      </c>
      <c r="F9" s="70">
        <v>2269</v>
      </c>
      <c r="G9" s="66">
        <v>1230</v>
      </c>
      <c r="I9" s="52">
        <v>1.113</v>
      </c>
      <c r="J9" s="104">
        <f>SUM(E6)/3.2808^2</f>
        <v>5.5743179665886968</v>
      </c>
      <c r="K9" s="104">
        <f>SUM(F6)/3.2808^3</f>
        <v>14.442118604000219</v>
      </c>
      <c r="M9" s="9">
        <v>1.113</v>
      </c>
    </row>
    <row r="10" spans="1:14" s="54" customFormat="1">
      <c r="A10" s="69" t="s">
        <v>386</v>
      </c>
      <c r="B10" s="69" t="s">
        <v>1441</v>
      </c>
      <c r="C10" s="69" t="s">
        <v>1440</v>
      </c>
      <c r="D10" s="71" t="s">
        <v>1435</v>
      </c>
      <c r="E10" s="70">
        <v>328</v>
      </c>
      <c r="F10" s="70">
        <v>3694</v>
      </c>
      <c r="G10" s="66">
        <v>4230</v>
      </c>
      <c r="I10" s="52">
        <v>1.1180000000000001</v>
      </c>
      <c r="J10" s="104">
        <f>SUM(E7:E8)/3.2808^2</f>
        <v>53.420547179808345</v>
      </c>
      <c r="K10" s="104">
        <f>SUM(F7:F8)/3.2808^3</f>
        <v>136.63376914568835</v>
      </c>
      <c r="M10" s="9">
        <v>1.1180000000000001</v>
      </c>
      <c r="N10" s="52"/>
    </row>
    <row r="11" spans="1:14" s="54" customFormat="1">
      <c r="A11" s="69" t="s">
        <v>386</v>
      </c>
      <c r="B11" s="69" t="s">
        <v>1439</v>
      </c>
      <c r="C11" s="69" t="s">
        <v>1438</v>
      </c>
      <c r="D11" s="71" t="s">
        <v>1435</v>
      </c>
      <c r="E11" s="70">
        <v>570</v>
      </c>
      <c r="F11" s="70">
        <v>6936</v>
      </c>
      <c r="G11" s="66">
        <v>4230</v>
      </c>
      <c r="M11" s="8">
        <v>1.1200000000000001</v>
      </c>
      <c r="N11" s="52"/>
    </row>
    <row r="12" spans="1:14">
      <c r="A12" s="69" t="s">
        <v>374</v>
      </c>
      <c r="B12" s="69" t="s">
        <v>1437</v>
      </c>
      <c r="C12" s="69" t="s">
        <v>1436</v>
      </c>
      <c r="D12" s="71" t="s">
        <v>1435</v>
      </c>
      <c r="E12" s="70">
        <v>346</v>
      </c>
      <c r="F12" s="70">
        <v>3376</v>
      </c>
      <c r="G12" s="66">
        <v>4510</v>
      </c>
      <c r="I12" s="52">
        <v>1.121</v>
      </c>
      <c r="J12" s="104">
        <f>SUM(E9:E17)/3.2808^2</f>
        <v>252.79531978479741</v>
      </c>
      <c r="K12" s="104">
        <f>SUM(F9:F17)/3.2808^3</f>
        <v>838.86054785548731</v>
      </c>
      <c r="M12" s="9">
        <v>1.121</v>
      </c>
    </row>
    <row r="13" spans="1:14">
      <c r="A13" s="69" t="s">
        <v>386</v>
      </c>
      <c r="B13" s="69" t="s">
        <v>1434</v>
      </c>
      <c r="C13" s="69" t="s">
        <v>1433</v>
      </c>
      <c r="D13" s="71" t="s">
        <v>1426</v>
      </c>
      <c r="E13" s="70">
        <v>196</v>
      </c>
      <c r="F13" s="70">
        <v>2278</v>
      </c>
      <c r="G13" s="66">
        <v>4230</v>
      </c>
      <c r="I13" s="52">
        <v>1.1220000000000001</v>
      </c>
      <c r="J13" s="104">
        <f>SUM(E18:E28)/3.2808^2</f>
        <v>172.43223576647702</v>
      </c>
      <c r="K13" s="104">
        <f>SUM(F18:F28)/3.2808^3</f>
        <v>652.64217150273157</v>
      </c>
      <c r="M13" s="9">
        <v>1.1220000000000001</v>
      </c>
    </row>
    <row r="14" spans="1:14">
      <c r="A14" s="69" t="s">
        <v>386</v>
      </c>
      <c r="B14" s="69" t="s">
        <v>1432</v>
      </c>
      <c r="C14" s="69" t="s">
        <v>1431</v>
      </c>
      <c r="D14" s="71" t="s">
        <v>1426</v>
      </c>
      <c r="E14" s="70">
        <v>196</v>
      </c>
      <c r="F14" s="70">
        <v>2278</v>
      </c>
      <c r="G14" s="66">
        <v>4230</v>
      </c>
      <c r="M14" s="8">
        <v>1.1299999999999999</v>
      </c>
    </row>
    <row r="15" spans="1:14">
      <c r="A15" s="69" t="s">
        <v>386</v>
      </c>
      <c r="B15" s="69" t="s">
        <v>1430</v>
      </c>
      <c r="C15" s="69" t="s">
        <v>1429</v>
      </c>
      <c r="D15" s="71" t="s">
        <v>1426</v>
      </c>
      <c r="E15" s="70">
        <v>218</v>
      </c>
      <c r="F15" s="70">
        <v>2336</v>
      </c>
      <c r="G15" s="95">
        <v>4230</v>
      </c>
      <c r="I15" s="105">
        <v>1.1299999999999999</v>
      </c>
      <c r="J15" s="104">
        <f>SUM(E29)/3.2808^2</f>
        <v>180.88661801580321</v>
      </c>
      <c r="K15" s="104">
        <f>SUM(F29)/3.2808^3</f>
        <v>521.5303888821021</v>
      </c>
      <c r="M15" s="125"/>
    </row>
    <row r="16" spans="1:14">
      <c r="A16" s="69" t="s">
        <v>386</v>
      </c>
      <c r="B16" s="69" t="s">
        <v>1428</v>
      </c>
      <c r="C16" s="69" t="s">
        <v>1427</v>
      </c>
      <c r="D16" s="71" t="s">
        <v>1426</v>
      </c>
      <c r="E16" s="70">
        <v>218</v>
      </c>
      <c r="F16" s="70">
        <v>2336</v>
      </c>
      <c r="G16" s="66">
        <v>4230</v>
      </c>
      <c r="M16" s="9">
        <v>1.131</v>
      </c>
    </row>
    <row r="17" spans="1:13">
      <c r="A17" s="83" t="s">
        <v>393</v>
      </c>
      <c r="B17" s="83" t="s">
        <v>1425</v>
      </c>
      <c r="C17" s="83" t="s">
        <v>1424</v>
      </c>
      <c r="D17" s="71">
        <v>1.1211502</v>
      </c>
      <c r="E17" s="70">
        <v>439</v>
      </c>
      <c r="F17" s="70">
        <v>4120</v>
      </c>
      <c r="G17" s="66">
        <v>1430</v>
      </c>
      <c r="I17" s="54">
        <v>1.1319999999999999</v>
      </c>
      <c r="J17" s="106">
        <f>SUM(E30:E31)/3.2808^2</f>
        <v>74.324239554515955</v>
      </c>
      <c r="K17" s="106">
        <f>SUM(F30:F31)/3.2808^3</f>
        <v>192.56158138666959</v>
      </c>
      <c r="M17" s="9">
        <v>1.1319999999999999</v>
      </c>
    </row>
    <row r="18" spans="1:13">
      <c r="A18" s="69" t="s">
        <v>383</v>
      </c>
      <c r="B18" s="69" t="s">
        <v>1423</v>
      </c>
      <c r="C18" s="69" t="s">
        <v>1422</v>
      </c>
      <c r="D18" s="71" t="s">
        <v>1421</v>
      </c>
      <c r="E18" s="70">
        <v>57</v>
      </c>
      <c r="F18" s="70">
        <v>68</v>
      </c>
      <c r="G18" s="66">
        <v>1340</v>
      </c>
      <c r="M18" s="10">
        <v>1.1321000000000001</v>
      </c>
    </row>
    <row r="19" spans="1:13">
      <c r="A19" s="69" t="s">
        <v>383</v>
      </c>
      <c r="B19" s="69" t="s">
        <v>1420</v>
      </c>
      <c r="C19" s="73" t="s">
        <v>1419</v>
      </c>
      <c r="D19" s="71">
        <v>1.122101</v>
      </c>
      <c r="E19" s="70">
        <v>317</v>
      </c>
      <c r="F19" s="70">
        <v>3174</v>
      </c>
      <c r="G19" s="66">
        <v>3540</v>
      </c>
      <c r="M19" s="10">
        <v>1.1322000000000001</v>
      </c>
    </row>
    <row r="20" spans="1:13">
      <c r="A20" s="81" t="s">
        <v>397</v>
      </c>
      <c r="B20" s="81" t="s">
        <v>1418</v>
      </c>
      <c r="C20" s="81" t="s">
        <v>1417</v>
      </c>
      <c r="D20" s="80" t="s">
        <v>1414</v>
      </c>
      <c r="E20" s="79">
        <v>500</v>
      </c>
      <c r="F20" s="79">
        <v>5285</v>
      </c>
      <c r="G20" s="78">
        <v>1250</v>
      </c>
      <c r="M20" s="9">
        <v>1.133</v>
      </c>
    </row>
    <row r="21" spans="1:13">
      <c r="A21" s="69" t="s">
        <v>383</v>
      </c>
      <c r="B21" s="69" t="s">
        <v>1416</v>
      </c>
      <c r="C21" s="69" t="s">
        <v>1415</v>
      </c>
      <c r="D21" s="71" t="s">
        <v>1414</v>
      </c>
      <c r="E21" s="70">
        <v>326</v>
      </c>
      <c r="F21" s="70">
        <v>3780</v>
      </c>
      <c r="G21" s="66">
        <v>1240</v>
      </c>
      <c r="I21" s="54">
        <v>1.1339999999999999</v>
      </c>
      <c r="J21" s="106">
        <f>SUM(E32:E37)/3.2808^2</f>
        <v>225.01663525129706</v>
      </c>
      <c r="K21" s="106">
        <f>SUM(F32:F37)/3.2808^3</f>
        <v>649.7254299023158</v>
      </c>
      <c r="M21" s="125"/>
    </row>
    <row r="22" spans="1:13">
      <c r="A22" s="77" t="s">
        <v>527</v>
      </c>
      <c r="B22" s="77" t="s">
        <v>1413</v>
      </c>
      <c r="C22" s="77" t="s">
        <v>1412</v>
      </c>
      <c r="D22" s="76" t="s">
        <v>1411</v>
      </c>
      <c r="E22" s="75">
        <v>0</v>
      </c>
      <c r="F22" s="75">
        <v>3463</v>
      </c>
      <c r="G22" s="74">
        <v>1210</v>
      </c>
      <c r="M22" s="8">
        <v>1.1399999999999999</v>
      </c>
    </row>
    <row r="23" spans="1:13">
      <c r="A23" s="69" t="s">
        <v>447</v>
      </c>
      <c r="B23" s="69" t="s">
        <v>1410</v>
      </c>
      <c r="C23" s="69" t="s">
        <v>1409</v>
      </c>
      <c r="D23" s="71" t="s">
        <v>1406</v>
      </c>
      <c r="E23" s="70">
        <v>0</v>
      </c>
      <c r="F23" s="70">
        <v>218</v>
      </c>
      <c r="G23" s="66">
        <v>1210</v>
      </c>
      <c r="I23" s="52">
        <v>1.141</v>
      </c>
      <c r="J23" s="104">
        <f>SUM(E38)/3.2808^2</f>
        <v>41.342858252199505</v>
      </c>
      <c r="K23" s="104">
        <f>SUM(F38)/3.2808^3</f>
        <v>106.98494918806438</v>
      </c>
      <c r="M23" s="9">
        <v>1.141</v>
      </c>
    </row>
    <row r="24" spans="1:13">
      <c r="A24" s="69" t="s">
        <v>527</v>
      </c>
      <c r="B24" s="69" t="s">
        <v>1408</v>
      </c>
      <c r="C24" s="69" t="s">
        <v>1407</v>
      </c>
      <c r="D24" s="71" t="s">
        <v>1406</v>
      </c>
      <c r="E24" s="70">
        <v>0</v>
      </c>
      <c r="F24" s="70">
        <v>253</v>
      </c>
      <c r="G24" s="66">
        <v>1210</v>
      </c>
      <c r="I24" s="52">
        <v>1.1419999999999999</v>
      </c>
      <c r="J24" s="104">
        <f>SUM(E39)/3.2808^2</f>
        <v>22.947608962456801</v>
      </c>
      <c r="K24" s="104">
        <f>SUM(F39)/3.2808^3</f>
        <v>81.385586015483597</v>
      </c>
      <c r="M24" s="9">
        <v>1.1419999999999999</v>
      </c>
    </row>
    <row r="25" spans="1:13">
      <c r="A25" s="69" t="s">
        <v>383</v>
      </c>
      <c r="B25" s="69" t="s">
        <v>1405</v>
      </c>
      <c r="C25" s="69" t="s">
        <v>1404</v>
      </c>
      <c r="D25" s="71" t="s">
        <v>1403</v>
      </c>
      <c r="E25" s="70">
        <v>403</v>
      </c>
      <c r="F25" s="70">
        <v>4288</v>
      </c>
      <c r="G25" s="66">
        <v>1340</v>
      </c>
      <c r="I25" s="52">
        <v>1.143</v>
      </c>
      <c r="J25" s="104">
        <f>SUM(E40)/3.2808^2</f>
        <v>1.6722953899766091</v>
      </c>
      <c r="K25" s="104">
        <f>SUM(F40)/3.2808^3</f>
        <v>17.783628398651253</v>
      </c>
      <c r="M25" s="9">
        <v>1.143</v>
      </c>
    </row>
    <row r="26" spans="1:13">
      <c r="A26" s="69" t="s">
        <v>535</v>
      </c>
      <c r="B26" s="69" t="s">
        <v>1402</v>
      </c>
      <c r="C26" s="69" t="s">
        <v>1401</v>
      </c>
      <c r="D26" s="71" t="s">
        <v>1400</v>
      </c>
      <c r="E26" s="70">
        <v>145</v>
      </c>
      <c r="F26" s="70">
        <v>1194</v>
      </c>
      <c r="G26" s="66">
        <v>1260</v>
      </c>
      <c r="I26" s="52">
        <v>1.1439999999999999</v>
      </c>
      <c r="J26" s="104">
        <f>SUM(E41:E42)/3.2808^2</f>
        <v>24.341188454103975</v>
      </c>
      <c r="K26" s="104">
        <f>SUM(F41:F42)/3.2808^3</f>
        <v>54.76677917673809</v>
      </c>
      <c r="M26" s="9">
        <v>1.1439999999999999</v>
      </c>
    </row>
    <row r="27" spans="1:13">
      <c r="A27" s="69" t="s">
        <v>447</v>
      </c>
      <c r="B27" s="69" t="s">
        <v>1399</v>
      </c>
      <c r="C27" s="69" t="s">
        <v>1398</v>
      </c>
      <c r="D27" s="71" t="s">
        <v>1397</v>
      </c>
      <c r="E27" s="70">
        <v>0</v>
      </c>
      <c r="F27" s="70">
        <v>73</v>
      </c>
      <c r="G27" s="66">
        <v>1410</v>
      </c>
      <c r="I27" s="105">
        <v>1.1499999999999999</v>
      </c>
      <c r="J27" s="104">
        <f>SUM(E43:E44)/3.2808^2</f>
        <v>73.488091859527657</v>
      </c>
      <c r="K27" s="104">
        <f>SUM(F43:F44)/3.2808^3</f>
        <v>216.97159361539155</v>
      </c>
      <c r="M27" s="8">
        <v>1.1499999999999999</v>
      </c>
    </row>
    <row r="28" spans="1:13">
      <c r="A28" s="69" t="s">
        <v>383</v>
      </c>
      <c r="B28" s="69" t="s">
        <v>1396</v>
      </c>
      <c r="C28" s="69" t="s">
        <v>1395</v>
      </c>
      <c r="D28" s="71" t="s">
        <v>1394</v>
      </c>
      <c r="E28" s="70">
        <v>108</v>
      </c>
      <c r="F28" s="70">
        <v>1251</v>
      </c>
      <c r="G28" s="66">
        <v>3540</v>
      </c>
      <c r="M28" s="8">
        <v>1.1599999999999999</v>
      </c>
    </row>
    <row r="29" spans="1:13">
      <c r="A29" s="69" t="s">
        <v>397</v>
      </c>
      <c r="B29" s="69" t="s">
        <v>1393</v>
      </c>
      <c r="C29" s="69" t="s">
        <v>1392</v>
      </c>
      <c r="D29" s="71" t="s">
        <v>1391</v>
      </c>
      <c r="E29" s="70">
        <v>1947</v>
      </c>
      <c r="F29" s="70">
        <v>18417</v>
      </c>
      <c r="G29" s="66">
        <v>2150</v>
      </c>
      <c r="M29" s="7">
        <v>1.2</v>
      </c>
    </row>
    <row r="30" spans="1:13">
      <c r="A30" s="69" t="s">
        <v>428</v>
      </c>
      <c r="B30" s="69" t="s">
        <v>1390</v>
      </c>
      <c r="C30" s="69" t="s">
        <v>1389</v>
      </c>
      <c r="D30" s="71" t="s">
        <v>1388</v>
      </c>
      <c r="E30" s="70">
        <v>688</v>
      </c>
      <c r="F30" s="70">
        <v>5848</v>
      </c>
      <c r="G30" s="66">
        <v>4240</v>
      </c>
      <c r="I30" s="105">
        <v>1.21</v>
      </c>
      <c r="J30" s="115">
        <f>SUM(E48)/3.2808^2</f>
        <v>1.951011288306044</v>
      </c>
      <c r="K30" s="115">
        <f>SUM(F48)/3.2808^3</f>
        <v>2.3787018877176833</v>
      </c>
      <c r="M30" s="8">
        <v>1.21</v>
      </c>
    </row>
    <row r="31" spans="1:13">
      <c r="A31" s="69" t="s">
        <v>428</v>
      </c>
      <c r="B31" s="69" t="s">
        <v>1387</v>
      </c>
      <c r="C31" s="69" t="s">
        <v>1386</v>
      </c>
      <c r="D31" s="71" t="s">
        <v>1385</v>
      </c>
      <c r="E31" s="70">
        <v>112</v>
      </c>
      <c r="F31" s="70">
        <v>952</v>
      </c>
      <c r="G31" s="66">
        <v>4240</v>
      </c>
      <c r="I31" s="52">
        <v>1.2130000000000001</v>
      </c>
      <c r="J31" s="115">
        <f>SUM(E49:E50)/3.2808^2</f>
        <v>28.150305731272919</v>
      </c>
      <c r="K31" s="115">
        <f>SUM(F49:F50)/3.2808^3</f>
        <v>101.09483022800154</v>
      </c>
      <c r="M31" s="125"/>
    </row>
    <row r="32" spans="1:13">
      <c r="A32" s="69" t="s">
        <v>383</v>
      </c>
      <c r="B32" s="69" t="s">
        <v>1384</v>
      </c>
      <c r="C32" s="69" t="s">
        <v>1383</v>
      </c>
      <c r="D32" s="71" t="s">
        <v>1375</v>
      </c>
      <c r="E32" s="70">
        <v>376</v>
      </c>
      <c r="F32" s="70">
        <v>3924</v>
      </c>
      <c r="G32" s="66">
        <v>1340</v>
      </c>
      <c r="I32" s="52">
        <v>1.214</v>
      </c>
      <c r="J32" s="115">
        <f>SUM(E51:E60)/3.2808^2</f>
        <v>131.83261990982268</v>
      </c>
      <c r="K32" s="115">
        <f>SUM(F51:F60)/3.2808^3</f>
        <v>369.37842170701737</v>
      </c>
      <c r="M32" s="125"/>
    </row>
    <row r="33" spans="1:13">
      <c r="A33" s="69" t="s">
        <v>383</v>
      </c>
      <c r="B33" s="69" t="s">
        <v>1382</v>
      </c>
      <c r="C33" s="69" t="s">
        <v>1381</v>
      </c>
      <c r="D33" s="71" t="s">
        <v>1375</v>
      </c>
      <c r="E33" s="70">
        <v>924</v>
      </c>
      <c r="F33" s="70">
        <v>8316</v>
      </c>
      <c r="G33" s="66">
        <v>2140</v>
      </c>
      <c r="I33" s="52">
        <v>1.216</v>
      </c>
      <c r="J33" s="115">
        <f>SUM(E61:E62)/3.2808^2</f>
        <v>37.347930376144269</v>
      </c>
      <c r="K33" s="115">
        <f>SUM(F61:F62)/3.2808^3</f>
        <v>103.86998243033884</v>
      </c>
      <c r="M33" s="125"/>
    </row>
    <row r="34" spans="1:13">
      <c r="A34" s="69" t="s">
        <v>397</v>
      </c>
      <c r="B34" s="69" t="s">
        <v>1380</v>
      </c>
      <c r="C34" s="69" t="s">
        <v>1378</v>
      </c>
      <c r="D34" s="71" t="s">
        <v>1375</v>
      </c>
      <c r="E34" s="70">
        <v>568</v>
      </c>
      <c r="F34" s="70">
        <v>5211</v>
      </c>
      <c r="G34" s="66">
        <v>3150</v>
      </c>
      <c r="I34" s="105">
        <v>1.22</v>
      </c>
      <c r="J34" s="115">
        <f>SUM(E63:E64)/3.2808^2</f>
        <v>45.151975529368443</v>
      </c>
      <c r="K34" s="115">
        <f>SUM(F63:F64)/3.2808^3</f>
        <v>342.22157515557382</v>
      </c>
      <c r="M34" s="8">
        <v>1.22</v>
      </c>
    </row>
    <row r="35" spans="1:13">
      <c r="A35" s="69" t="s">
        <v>397</v>
      </c>
      <c r="B35" s="69" t="s">
        <v>1379</v>
      </c>
      <c r="C35" s="69" t="s">
        <v>1378</v>
      </c>
      <c r="D35" s="71" t="s">
        <v>1375</v>
      </c>
      <c r="E35" s="70">
        <v>184</v>
      </c>
      <c r="F35" s="70">
        <v>1690</v>
      </c>
      <c r="G35" s="66">
        <v>3150</v>
      </c>
      <c r="I35" s="52">
        <v>1.2210000000000001</v>
      </c>
      <c r="J35" s="115">
        <f>SUM(E65:E66)/3.2808^2</f>
        <v>94.113068335905837</v>
      </c>
      <c r="K35" s="115">
        <f>SUM(F65:F66)/3.2808^3</f>
        <v>242.34441375104683</v>
      </c>
      <c r="M35" s="125"/>
    </row>
    <row r="36" spans="1:13">
      <c r="A36" s="69" t="s">
        <v>386</v>
      </c>
      <c r="B36" s="69" t="s">
        <v>1377</v>
      </c>
      <c r="C36" s="69" t="s">
        <v>1376</v>
      </c>
      <c r="D36" s="71" t="s">
        <v>1375</v>
      </c>
      <c r="E36" s="70">
        <v>148</v>
      </c>
      <c r="F36" s="70">
        <v>1805</v>
      </c>
      <c r="G36" s="66">
        <v>4230</v>
      </c>
      <c r="I36" s="52">
        <v>1.222</v>
      </c>
      <c r="J36" s="115">
        <f>SUM(E67:E69)/3.2808^2</f>
        <v>73.023565362311928</v>
      </c>
      <c r="K36" s="115">
        <f>SUM(F67:F69)/3.2808^3</f>
        <v>139.15406043148448</v>
      </c>
      <c r="M36" s="125"/>
    </row>
    <row r="37" spans="1:13">
      <c r="A37" s="69" t="s">
        <v>383</v>
      </c>
      <c r="B37" s="94" t="s">
        <v>1374</v>
      </c>
      <c r="C37" s="73" t="s">
        <v>1373</v>
      </c>
      <c r="D37" s="71">
        <v>1.1340300000000001</v>
      </c>
      <c r="E37" s="70">
        <v>222</v>
      </c>
      <c r="F37" s="70">
        <v>1998</v>
      </c>
      <c r="G37" s="66">
        <v>2140</v>
      </c>
      <c r="I37" s="52">
        <v>1.2270000000000001</v>
      </c>
      <c r="J37" s="115">
        <f>SUM(E70)/3.2808^2</f>
        <v>4.2736437743846674</v>
      </c>
      <c r="K37" s="115">
        <f>SUM(F70)/3.2808^3</f>
        <v>12.601456428980585</v>
      </c>
      <c r="M37" s="125"/>
    </row>
    <row r="38" spans="1:13">
      <c r="A38" s="69" t="s">
        <v>374</v>
      </c>
      <c r="B38" s="69" t="s">
        <v>1372</v>
      </c>
      <c r="C38" s="69" t="s">
        <v>1371</v>
      </c>
      <c r="D38" s="90" t="s">
        <v>1370</v>
      </c>
      <c r="E38" s="70">
        <v>445</v>
      </c>
      <c r="F38" s="70">
        <v>3778</v>
      </c>
      <c r="G38" s="66">
        <v>4210</v>
      </c>
      <c r="M38" s="8">
        <v>1.23</v>
      </c>
    </row>
    <row r="39" spans="1:13">
      <c r="A39" s="69" t="s">
        <v>383</v>
      </c>
      <c r="B39" s="69" t="s">
        <v>1369</v>
      </c>
      <c r="C39" s="69" t="s">
        <v>1368</v>
      </c>
      <c r="D39" s="71" t="s">
        <v>1367</v>
      </c>
      <c r="E39" s="70">
        <v>247</v>
      </c>
      <c r="F39" s="70">
        <v>2874</v>
      </c>
      <c r="G39" s="66">
        <v>3540</v>
      </c>
      <c r="I39" s="52">
        <v>1.2370000000000001</v>
      </c>
      <c r="J39" s="115">
        <f>SUM(E71)/3.2808^2</f>
        <v>2.6942536838512035</v>
      </c>
      <c r="K39" s="115">
        <f>SUM(F71)/3.2808^3</f>
        <v>9.146675115866806</v>
      </c>
      <c r="M39" s="125"/>
    </row>
    <row r="40" spans="1:13">
      <c r="A40" s="69" t="s">
        <v>374</v>
      </c>
      <c r="B40" s="69" t="s">
        <v>1366</v>
      </c>
      <c r="C40" s="69" t="s">
        <v>1365</v>
      </c>
      <c r="D40" s="71" t="s">
        <v>1364</v>
      </c>
      <c r="E40" s="70">
        <v>18</v>
      </c>
      <c r="F40" s="70">
        <v>628</v>
      </c>
      <c r="G40" s="66">
        <v>3250</v>
      </c>
      <c r="M40" s="8">
        <v>1.24</v>
      </c>
    </row>
    <row r="41" spans="1:13">
      <c r="A41" s="69" t="s">
        <v>443</v>
      </c>
      <c r="B41" s="69" t="s">
        <v>1363</v>
      </c>
      <c r="C41" s="69" t="s">
        <v>1362</v>
      </c>
      <c r="D41" s="71" t="s">
        <v>1359</v>
      </c>
      <c r="E41" s="70">
        <v>122</v>
      </c>
      <c r="F41" s="70">
        <v>906</v>
      </c>
      <c r="G41" s="66">
        <v>4320</v>
      </c>
      <c r="I41" s="52">
        <v>1.244</v>
      </c>
      <c r="J41" s="115">
        <f>SUM(E72)/3.2808^2</f>
        <v>40.135089359438616</v>
      </c>
      <c r="K41" s="115">
        <f>SUM(F72)/3.2808^3</f>
        <v>112.0538496392723</v>
      </c>
    </row>
    <row r="42" spans="1:13">
      <c r="A42" s="81" t="s">
        <v>443</v>
      </c>
      <c r="B42" s="81" t="s">
        <v>1361</v>
      </c>
      <c r="C42" s="81" t="s">
        <v>1360</v>
      </c>
      <c r="D42" s="80" t="s">
        <v>1359</v>
      </c>
      <c r="E42" s="79">
        <v>140</v>
      </c>
      <c r="F42" s="79">
        <v>1028</v>
      </c>
      <c r="G42" s="78">
        <v>4320</v>
      </c>
      <c r="M42" s="8">
        <v>1.25</v>
      </c>
    </row>
    <row r="43" spans="1:13">
      <c r="A43" s="69" t="s">
        <v>451</v>
      </c>
      <c r="B43" s="69" t="s">
        <v>1358</v>
      </c>
      <c r="C43" s="69" t="s">
        <v>1357</v>
      </c>
      <c r="D43" s="71">
        <v>1.15001</v>
      </c>
      <c r="E43" s="70">
        <v>366</v>
      </c>
      <c r="F43" s="70">
        <v>3886</v>
      </c>
      <c r="G43" s="66">
        <v>1420</v>
      </c>
      <c r="M43" s="8">
        <v>1.26</v>
      </c>
    </row>
    <row r="44" spans="1:13">
      <c r="A44" s="77" t="s">
        <v>393</v>
      </c>
      <c r="B44" s="77" t="s">
        <v>1356</v>
      </c>
      <c r="C44" s="77" t="s">
        <v>1355</v>
      </c>
      <c r="D44" s="76">
        <v>1.15001</v>
      </c>
      <c r="E44" s="75">
        <v>425</v>
      </c>
      <c r="F44" s="75">
        <v>3776</v>
      </c>
      <c r="G44" s="74">
        <v>3130</v>
      </c>
      <c r="M44" s="8">
        <v>1.27</v>
      </c>
    </row>
    <row r="45" spans="1:13">
      <c r="A45" s="77"/>
      <c r="B45" s="77"/>
      <c r="C45" s="77"/>
      <c r="D45" s="93" t="s">
        <v>370</v>
      </c>
      <c r="E45" s="92">
        <f>SUM(E4:E44)</f>
        <v>13365</v>
      </c>
      <c r="F45" s="92">
        <f>SUM(F4:F44)</f>
        <v>134794</v>
      </c>
      <c r="G45" s="74"/>
      <c r="I45" s="105">
        <v>1.28</v>
      </c>
      <c r="J45" s="115">
        <f>SUM(E73)/3.2808^2</f>
        <v>9.2905299443144944</v>
      </c>
      <c r="K45" s="115">
        <f>SUM(F73)/3.2808^3</f>
        <v>27.779839902988659</v>
      </c>
      <c r="M45" s="8">
        <v>1.28</v>
      </c>
    </row>
    <row r="46" spans="1:13">
      <c r="A46" s="77"/>
      <c r="B46" s="77"/>
      <c r="C46" s="77"/>
      <c r="D46" s="76"/>
      <c r="E46" s="75"/>
      <c r="F46" s="75"/>
      <c r="G46" s="74"/>
      <c r="M46" s="7">
        <v>1.3</v>
      </c>
    </row>
    <row r="47" spans="1:13">
      <c r="A47" s="91" t="s">
        <v>1354</v>
      </c>
      <c r="B47" s="77"/>
      <c r="C47" s="77"/>
      <c r="D47" s="76"/>
      <c r="E47" s="75"/>
      <c r="F47" s="75"/>
      <c r="G47" s="74"/>
      <c r="M47" s="7">
        <v>1.31</v>
      </c>
    </row>
    <row r="48" spans="1:13">
      <c r="A48" s="77" t="s">
        <v>802</v>
      </c>
      <c r="B48" s="77" t="s">
        <v>1353</v>
      </c>
      <c r="C48" s="77" t="s">
        <v>1352</v>
      </c>
      <c r="D48" s="76" t="s">
        <v>1351</v>
      </c>
      <c r="E48" s="75">
        <v>21</v>
      </c>
      <c r="F48" s="75">
        <v>84</v>
      </c>
      <c r="G48" s="74">
        <v>4250</v>
      </c>
      <c r="M48" s="8">
        <v>1.3109999999999999</v>
      </c>
    </row>
    <row r="49" spans="1:13">
      <c r="A49" s="69" t="s">
        <v>397</v>
      </c>
      <c r="B49" s="73" t="s">
        <v>1350</v>
      </c>
      <c r="C49" s="73" t="s">
        <v>1349</v>
      </c>
      <c r="D49" s="71">
        <v>1.213031</v>
      </c>
      <c r="E49" s="70">
        <v>270</v>
      </c>
      <c r="F49" s="70">
        <v>2548</v>
      </c>
      <c r="G49" s="66">
        <v>1350</v>
      </c>
      <c r="M49" s="9">
        <v>1.3111999999999999</v>
      </c>
    </row>
    <row r="50" spans="1:13">
      <c r="A50" s="69" t="s">
        <v>451</v>
      </c>
      <c r="B50" s="69" t="s">
        <v>1348</v>
      </c>
      <c r="C50" s="69" t="s">
        <v>1347</v>
      </c>
      <c r="D50" s="71" t="s">
        <v>1346</v>
      </c>
      <c r="E50" s="70">
        <v>33</v>
      </c>
      <c r="F50" s="70">
        <v>1022</v>
      </c>
      <c r="G50" s="66">
        <v>1320</v>
      </c>
      <c r="M50" s="8">
        <v>1.3120000000000001</v>
      </c>
    </row>
    <row r="51" spans="1:13">
      <c r="A51" s="69" t="s">
        <v>393</v>
      </c>
      <c r="B51" s="73" t="s">
        <v>1345</v>
      </c>
      <c r="C51" s="73" t="s">
        <v>1344</v>
      </c>
      <c r="D51" s="71">
        <v>1.2140320099999999</v>
      </c>
      <c r="E51" s="70">
        <v>462</v>
      </c>
      <c r="F51" s="70">
        <v>4789</v>
      </c>
      <c r="G51" s="66">
        <v>1330</v>
      </c>
      <c r="I51" s="121">
        <v>1.3123</v>
      </c>
      <c r="J51" s="115">
        <f>SUM(E77:E78)/3.2808^2</f>
        <v>42.736437743846679</v>
      </c>
      <c r="K51" s="115">
        <f>SUM(F77:F78)/3.2808^3</f>
        <v>120.26603472782143</v>
      </c>
      <c r="M51" s="9">
        <v>1.3123</v>
      </c>
    </row>
    <row r="52" spans="1:13">
      <c r="A52" s="69" t="s">
        <v>393</v>
      </c>
      <c r="B52" s="73" t="s">
        <v>1343</v>
      </c>
      <c r="C52" s="73" t="s">
        <v>1342</v>
      </c>
      <c r="D52" s="71">
        <v>1.2140320200000001</v>
      </c>
      <c r="E52" s="70">
        <v>107</v>
      </c>
      <c r="F52" s="70">
        <v>1092</v>
      </c>
      <c r="G52" s="66">
        <v>1330</v>
      </c>
      <c r="M52" s="7">
        <v>1.32</v>
      </c>
    </row>
    <row r="53" spans="1:13">
      <c r="A53" s="69" t="s">
        <v>393</v>
      </c>
      <c r="B53" s="73" t="s">
        <v>1341</v>
      </c>
      <c r="C53" s="73" t="s">
        <v>1340</v>
      </c>
      <c r="D53" s="71">
        <v>1.2140320200000001</v>
      </c>
      <c r="E53" s="70">
        <v>107</v>
      </c>
      <c r="F53" s="70">
        <v>1092</v>
      </c>
      <c r="G53" s="66">
        <v>1330</v>
      </c>
      <c r="I53" s="52">
        <v>1.321</v>
      </c>
      <c r="J53" s="115">
        <f>SUM(E79:E81)/3.2808^2</f>
        <v>16.537143300879801</v>
      </c>
      <c r="K53" s="115">
        <f>SUM(F79:F81)/3.2808^3</f>
        <v>44.430753117012443</v>
      </c>
      <c r="M53" s="8">
        <v>1.321</v>
      </c>
    </row>
    <row r="54" spans="1:13">
      <c r="A54" s="69" t="s">
        <v>393</v>
      </c>
      <c r="B54" s="69" t="s">
        <v>1339</v>
      </c>
      <c r="C54" s="69" t="s">
        <v>1338</v>
      </c>
      <c r="D54" s="71" t="s">
        <v>1337</v>
      </c>
      <c r="E54" s="70">
        <v>16</v>
      </c>
      <c r="F54" s="70">
        <v>190</v>
      </c>
      <c r="G54" s="66">
        <v>1330</v>
      </c>
      <c r="M54" s="9">
        <v>1.3211999999999999</v>
      </c>
    </row>
    <row r="55" spans="1:13">
      <c r="A55" s="69" t="s">
        <v>443</v>
      </c>
      <c r="B55" s="69" t="s">
        <v>1336</v>
      </c>
      <c r="C55" s="69" t="s">
        <v>1335</v>
      </c>
      <c r="D55" s="71" t="s">
        <v>1334</v>
      </c>
      <c r="E55" s="70">
        <v>254</v>
      </c>
      <c r="F55" s="70">
        <v>1483</v>
      </c>
      <c r="G55" s="66">
        <v>4620</v>
      </c>
      <c r="M55" s="10">
        <v>1.3212010000000001</v>
      </c>
    </row>
    <row r="56" spans="1:13">
      <c r="A56" s="69" t="s">
        <v>386</v>
      </c>
      <c r="B56" s="69" t="s">
        <v>1333</v>
      </c>
      <c r="C56" s="69" t="s">
        <v>1332</v>
      </c>
      <c r="D56" s="71" t="s">
        <v>1329</v>
      </c>
      <c r="E56" s="70">
        <v>11</v>
      </c>
      <c r="F56" s="70">
        <v>60</v>
      </c>
      <c r="G56" s="66">
        <v>4130</v>
      </c>
      <c r="M56" s="8">
        <v>1.3220000000000001</v>
      </c>
    </row>
    <row r="57" spans="1:13">
      <c r="A57" s="69" t="s">
        <v>443</v>
      </c>
      <c r="B57" s="69" t="s">
        <v>1331</v>
      </c>
      <c r="C57" s="69" t="s">
        <v>1330</v>
      </c>
      <c r="D57" s="71" t="s">
        <v>1329</v>
      </c>
      <c r="E57" s="70">
        <v>132</v>
      </c>
      <c r="F57" s="70">
        <v>990</v>
      </c>
      <c r="G57" s="66">
        <v>4120</v>
      </c>
      <c r="M57" s="8">
        <v>1.323</v>
      </c>
    </row>
    <row r="58" spans="1:13">
      <c r="A58" s="83" t="s">
        <v>374</v>
      </c>
      <c r="B58" s="83" t="s">
        <v>1328</v>
      </c>
      <c r="C58" s="83" t="s">
        <v>1327</v>
      </c>
      <c r="D58" s="71">
        <v>1.2140803</v>
      </c>
      <c r="E58" s="70">
        <v>151</v>
      </c>
      <c r="F58" s="70">
        <v>1495</v>
      </c>
      <c r="G58" s="66">
        <v>4610</v>
      </c>
      <c r="M58" s="7">
        <v>1.33</v>
      </c>
    </row>
    <row r="59" spans="1:13">
      <c r="A59" s="69" t="s">
        <v>397</v>
      </c>
      <c r="B59" s="69" t="s">
        <v>1326</v>
      </c>
      <c r="C59" s="69" t="s">
        <v>1325</v>
      </c>
      <c r="D59" s="71" t="s">
        <v>1322</v>
      </c>
      <c r="E59" s="70">
        <v>68</v>
      </c>
      <c r="F59" s="70">
        <v>621</v>
      </c>
      <c r="G59" s="66">
        <v>3150</v>
      </c>
      <c r="I59" s="52">
        <v>1.331</v>
      </c>
      <c r="J59" s="115">
        <f>SUM(E82)/3.2808^2</f>
        <v>0</v>
      </c>
      <c r="K59" s="115">
        <f>SUM(F82)/3.2808^3</f>
        <v>29.847045114933788</v>
      </c>
      <c r="M59" s="8">
        <v>1.331</v>
      </c>
    </row>
    <row r="60" spans="1:13">
      <c r="A60" s="69" t="s">
        <v>383</v>
      </c>
      <c r="B60" s="69" t="s">
        <v>1324</v>
      </c>
      <c r="C60" s="69" t="s">
        <v>1323</v>
      </c>
      <c r="D60" s="71" t="s">
        <v>1322</v>
      </c>
      <c r="E60" s="70">
        <v>111</v>
      </c>
      <c r="F60" s="70">
        <v>1232</v>
      </c>
      <c r="G60" s="66">
        <v>3440</v>
      </c>
      <c r="M60" s="8">
        <v>1.3320000000000001</v>
      </c>
    </row>
    <row r="61" spans="1:13">
      <c r="A61" s="69" t="s">
        <v>374</v>
      </c>
      <c r="B61" s="69" t="s">
        <v>1321</v>
      </c>
      <c r="C61" s="69" t="s">
        <v>1320</v>
      </c>
      <c r="D61" s="71" t="s">
        <v>1317</v>
      </c>
      <c r="E61" s="70">
        <v>203</v>
      </c>
      <c r="F61" s="70">
        <v>2132</v>
      </c>
      <c r="G61" s="66">
        <v>4610</v>
      </c>
      <c r="M61" s="8">
        <v>1.3340000000000001</v>
      </c>
    </row>
    <row r="62" spans="1:13">
      <c r="A62" s="69" t="s">
        <v>443</v>
      </c>
      <c r="B62" s="69" t="s">
        <v>1319</v>
      </c>
      <c r="C62" s="69" t="s">
        <v>1318</v>
      </c>
      <c r="D62" s="71" t="s">
        <v>1317</v>
      </c>
      <c r="E62" s="70">
        <v>199</v>
      </c>
      <c r="F62" s="70">
        <v>1536</v>
      </c>
      <c r="G62" s="66">
        <v>4120</v>
      </c>
      <c r="I62" s="105">
        <v>1.34</v>
      </c>
      <c r="J62" s="115">
        <f>SUM(E83:E84)/3.2808^2</f>
        <v>221.48623387245755</v>
      </c>
      <c r="K62" s="115">
        <f>SUM(F83:F84)/3.2808^3</f>
        <v>1148.8563760084096</v>
      </c>
      <c r="M62" s="7">
        <v>1.34</v>
      </c>
    </row>
    <row r="63" spans="1:13">
      <c r="A63" s="69" t="s">
        <v>393</v>
      </c>
      <c r="B63" s="69" t="s">
        <v>1316</v>
      </c>
      <c r="C63" s="69" t="s">
        <v>1315</v>
      </c>
      <c r="D63" s="71" t="s">
        <v>1314</v>
      </c>
      <c r="E63" s="70">
        <v>428</v>
      </c>
      <c r="F63" s="70">
        <v>11436</v>
      </c>
      <c r="G63" s="66">
        <v>1430</v>
      </c>
      <c r="M63" s="8">
        <v>1.3420000000000001</v>
      </c>
    </row>
    <row r="64" spans="1:13">
      <c r="A64" s="69" t="s">
        <v>397</v>
      </c>
      <c r="B64" s="69" t="s">
        <v>1313</v>
      </c>
      <c r="C64" s="69" t="s">
        <v>1312</v>
      </c>
      <c r="D64" s="71" t="s">
        <v>1311</v>
      </c>
      <c r="E64" s="70">
        <v>58</v>
      </c>
      <c r="F64" s="70">
        <v>649</v>
      </c>
      <c r="G64" s="66">
        <v>1450</v>
      </c>
      <c r="M64" s="7">
        <v>1.35</v>
      </c>
    </row>
    <row r="65" spans="1:14">
      <c r="A65" s="69" t="s">
        <v>386</v>
      </c>
      <c r="B65" s="69" t="s">
        <v>1310</v>
      </c>
      <c r="C65" s="69" t="s">
        <v>1309</v>
      </c>
      <c r="D65" s="71" t="s">
        <v>1308</v>
      </c>
      <c r="E65" s="70">
        <v>293</v>
      </c>
      <c r="F65" s="70">
        <v>1819</v>
      </c>
      <c r="G65" s="66">
        <v>4130</v>
      </c>
      <c r="I65" s="105">
        <v>1.353</v>
      </c>
      <c r="J65" s="115">
        <f>SUM(E85)/3.2808^2</f>
        <v>6.9678974582358713</v>
      </c>
      <c r="K65" s="115">
        <f>SUM(F85)/3.2808^3</f>
        <v>20.27560180483168</v>
      </c>
      <c r="M65" s="8">
        <v>1.353</v>
      </c>
    </row>
    <row r="66" spans="1:14" s="53" customFormat="1">
      <c r="A66" s="69" t="s">
        <v>383</v>
      </c>
      <c r="B66" s="69" t="s">
        <v>1307</v>
      </c>
      <c r="C66" s="69" t="s">
        <v>1306</v>
      </c>
      <c r="D66" s="71" t="s">
        <v>1305</v>
      </c>
      <c r="E66" s="70">
        <v>720</v>
      </c>
      <c r="F66" s="70">
        <v>6739</v>
      </c>
      <c r="G66" s="66">
        <v>3240</v>
      </c>
      <c r="M66" s="7">
        <v>1.36</v>
      </c>
      <c r="N66" s="52"/>
    </row>
    <row r="67" spans="1:14" s="53" customFormat="1">
      <c r="A67" s="69" t="s">
        <v>802</v>
      </c>
      <c r="B67" s="69" t="s">
        <v>1304</v>
      </c>
      <c r="C67" s="69" t="s">
        <v>1303</v>
      </c>
      <c r="D67" s="71" t="s">
        <v>1298</v>
      </c>
      <c r="E67" s="70">
        <v>377</v>
      </c>
      <c r="F67" s="70">
        <v>2114</v>
      </c>
      <c r="G67" s="66">
        <v>4250</v>
      </c>
      <c r="M67" s="8">
        <v>1.361</v>
      </c>
      <c r="N67" s="52"/>
    </row>
    <row r="68" spans="1:14" s="53" customFormat="1">
      <c r="A68" s="69" t="s">
        <v>428</v>
      </c>
      <c r="B68" s="69" t="s">
        <v>1302</v>
      </c>
      <c r="C68" s="69" t="s">
        <v>1301</v>
      </c>
      <c r="D68" s="71" t="s">
        <v>1298</v>
      </c>
      <c r="E68" s="70">
        <v>181</v>
      </c>
      <c r="F68" s="70">
        <v>1258</v>
      </c>
      <c r="G68" s="66">
        <v>4640</v>
      </c>
      <c r="I68" s="52">
        <v>1.369</v>
      </c>
      <c r="J68" s="115">
        <f>SUM(E86)/3.2808^2</f>
        <v>18.581059888628989</v>
      </c>
      <c r="K68" s="115">
        <f>SUM(F86)/3.2808^3</f>
        <v>52.6146203259459</v>
      </c>
      <c r="M68" s="8">
        <v>1.369</v>
      </c>
      <c r="N68" s="52"/>
    </row>
    <row r="69" spans="1:14">
      <c r="A69" s="69" t="s">
        <v>386</v>
      </c>
      <c r="B69" s="69" t="s">
        <v>1300</v>
      </c>
      <c r="C69" s="69" t="s">
        <v>1299</v>
      </c>
      <c r="D69" s="71" t="s">
        <v>1298</v>
      </c>
      <c r="E69" s="70">
        <v>228</v>
      </c>
      <c r="F69" s="70">
        <v>1542</v>
      </c>
      <c r="G69" s="66">
        <v>4630</v>
      </c>
      <c r="M69" s="7">
        <v>1.37</v>
      </c>
    </row>
    <row r="70" spans="1:14">
      <c r="A70" s="69" t="s">
        <v>374</v>
      </c>
      <c r="B70" s="69" t="s">
        <v>1297</v>
      </c>
      <c r="C70" s="69" t="s">
        <v>1294</v>
      </c>
      <c r="D70" s="71" t="s">
        <v>1296</v>
      </c>
      <c r="E70" s="70">
        <v>46</v>
      </c>
      <c r="F70" s="70">
        <v>445</v>
      </c>
      <c r="G70" s="66">
        <v>4710</v>
      </c>
      <c r="M70" s="8">
        <v>1.3720000000000001</v>
      </c>
    </row>
    <row r="71" spans="1:14">
      <c r="A71" s="69" t="s">
        <v>397</v>
      </c>
      <c r="B71" s="69" t="s">
        <v>1295</v>
      </c>
      <c r="C71" s="69" t="s">
        <v>1294</v>
      </c>
      <c r="D71" s="71" t="s">
        <v>1293</v>
      </c>
      <c r="E71" s="70">
        <v>29</v>
      </c>
      <c r="F71" s="70">
        <v>323</v>
      </c>
      <c r="G71" s="66">
        <v>1450</v>
      </c>
      <c r="M71" s="8">
        <v>1.373</v>
      </c>
    </row>
    <row r="72" spans="1:14">
      <c r="A72" s="69" t="s">
        <v>397</v>
      </c>
      <c r="B72" s="69" t="s">
        <v>1292</v>
      </c>
      <c r="C72" s="69" t="s">
        <v>1291</v>
      </c>
      <c r="D72" s="71" t="s">
        <v>1290</v>
      </c>
      <c r="E72" s="70">
        <v>432</v>
      </c>
      <c r="F72" s="70">
        <v>3957</v>
      </c>
      <c r="G72" s="66">
        <v>3150</v>
      </c>
      <c r="I72" s="52">
        <v>1.3740000000000001</v>
      </c>
      <c r="J72" s="115">
        <f>SUM(E87)/3.2808^2</f>
        <v>8.8260034470987705</v>
      </c>
      <c r="K72" s="115">
        <f>SUM(F87)/3.2808^3</f>
        <v>27.666568384525913</v>
      </c>
      <c r="M72" s="8">
        <v>1.3740000000000001</v>
      </c>
    </row>
    <row r="73" spans="1:14">
      <c r="A73" s="69" t="s">
        <v>374</v>
      </c>
      <c r="B73" s="69" t="s">
        <v>1289</v>
      </c>
      <c r="C73" s="69" t="s">
        <v>1288</v>
      </c>
      <c r="D73" s="71" t="s">
        <v>1287</v>
      </c>
      <c r="E73" s="70">
        <v>100</v>
      </c>
      <c r="F73" s="70">
        <v>981</v>
      </c>
      <c r="G73" s="66">
        <v>4710</v>
      </c>
      <c r="M73" s="7">
        <v>1.38</v>
      </c>
    </row>
    <row r="74" spans="1:14">
      <c r="A74" s="69"/>
      <c r="B74" s="69"/>
      <c r="C74" s="69"/>
      <c r="D74" s="68" t="s">
        <v>370</v>
      </c>
      <c r="E74" s="67">
        <f>SUM(E48:E73)</f>
        <v>5037</v>
      </c>
      <c r="F74" s="67">
        <f>SUM(F48:F73)</f>
        <v>51629</v>
      </c>
      <c r="G74" s="66"/>
      <c r="I74" s="52">
        <v>1.381</v>
      </c>
      <c r="J74" s="115">
        <f>SUM(E88:E90)/3.2808^2</f>
        <v>6.9678974582358713</v>
      </c>
      <c r="K74" s="115">
        <f>SUM(F88:F90)/3.2808^3</f>
        <v>57.598567138306763</v>
      </c>
      <c r="M74" s="8">
        <v>1.381</v>
      </c>
    </row>
    <row r="75" spans="1:14">
      <c r="A75" s="69"/>
      <c r="B75" s="69"/>
      <c r="C75" s="69"/>
      <c r="D75" s="71"/>
      <c r="E75" s="70"/>
      <c r="F75" s="70"/>
      <c r="G75" s="66"/>
      <c r="M75" s="9">
        <v>1.3811</v>
      </c>
    </row>
    <row r="76" spans="1:14">
      <c r="A76" s="82" t="s">
        <v>1286</v>
      </c>
      <c r="B76" s="69"/>
      <c r="C76" s="69"/>
      <c r="D76" s="71"/>
      <c r="E76" s="70"/>
      <c r="F76" s="70"/>
      <c r="G76" s="66"/>
      <c r="M76" s="9">
        <v>1.3812</v>
      </c>
    </row>
    <row r="77" spans="1:14">
      <c r="A77" s="69" t="s">
        <v>383</v>
      </c>
      <c r="B77" s="69" t="s">
        <v>1285</v>
      </c>
      <c r="C77" s="69" t="s">
        <v>1284</v>
      </c>
      <c r="D77" s="71" t="s">
        <v>1283</v>
      </c>
      <c r="E77" s="70">
        <v>63</v>
      </c>
      <c r="F77" s="70">
        <v>702</v>
      </c>
      <c r="G77" s="66">
        <v>3540</v>
      </c>
      <c r="M77" s="9">
        <v>1.3813</v>
      </c>
    </row>
    <row r="78" spans="1:14">
      <c r="A78" s="69" t="s">
        <v>383</v>
      </c>
      <c r="B78" s="69" t="s">
        <v>1282</v>
      </c>
      <c r="C78" s="69" t="s">
        <v>1281</v>
      </c>
      <c r="D78" s="71" t="s">
        <v>1280</v>
      </c>
      <c r="E78" s="70">
        <v>397</v>
      </c>
      <c r="F78" s="70">
        <v>3545</v>
      </c>
      <c r="G78" s="66">
        <v>3540</v>
      </c>
      <c r="M78" s="7">
        <v>1.39</v>
      </c>
    </row>
    <row r="79" spans="1:14">
      <c r="A79" s="69" t="s">
        <v>397</v>
      </c>
      <c r="B79" s="69" t="s">
        <v>1279</v>
      </c>
      <c r="C79" s="69" t="s">
        <v>1278</v>
      </c>
      <c r="D79" s="71" t="s">
        <v>1275</v>
      </c>
      <c r="E79" s="70">
        <v>48</v>
      </c>
      <c r="F79" s="70">
        <v>410</v>
      </c>
      <c r="G79" s="66">
        <v>3250</v>
      </c>
      <c r="I79" s="52">
        <v>1.391</v>
      </c>
      <c r="J79" s="115">
        <f>SUM(E91:E94)/3.2808^2</f>
        <v>31.587801810669283</v>
      </c>
      <c r="K79" s="115">
        <f>SUM(F91:F94)/3.2808^3</f>
        <v>95.317982786401458</v>
      </c>
      <c r="M79" s="8">
        <v>1.391</v>
      </c>
    </row>
    <row r="80" spans="1:14">
      <c r="A80" s="69" t="s">
        <v>397</v>
      </c>
      <c r="B80" s="69" t="s">
        <v>1277</v>
      </c>
      <c r="C80" s="69" t="s">
        <v>1276</v>
      </c>
      <c r="D80" s="71" t="s">
        <v>1275</v>
      </c>
      <c r="E80" s="70">
        <v>50</v>
      </c>
      <c r="F80" s="70">
        <v>426</v>
      </c>
      <c r="G80" s="66">
        <v>3250</v>
      </c>
      <c r="M80" s="9">
        <v>1.3911</v>
      </c>
    </row>
    <row r="81" spans="1:13">
      <c r="A81" s="69" t="s">
        <v>374</v>
      </c>
      <c r="B81" s="69" t="s">
        <v>1274</v>
      </c>
      <c r="C81" s="69" t="s">
        <v>1273</v>
      </c>
      <c r="D81" s="71" t="s">
        <v>1272</v>
      </c>
      <c r="E81" s="70">
        <v>80</v>
      </c>
      <c r="F81" s="70">
        <v>733</v>
      </c>
      <c r="G81" s="66">
        <v>3250</v>
      </c>
      <c r="I81" s="52">
        <v>1.3939999999999999</v>
      </c>
      <c r="J81" s="115">
        <f>SUM(E95)/3.2808^2</f>
        <v>5.202696768816117</v>
      </c>
      <c r="K81" s="115">
        <f>SUM(F95)/3.2808^3</f>
        <v>16.735866852870842</v>
      </c>
    </row>
    <row r="82" spans="1:13">
      <c r="A82" s="69" t="s">
        <v>447</v>
      </c>
      <c r="B82" s="69" t="s">
        <v>1271</v>
      </c>
      <c r="C82" s="69" t="s">
        <v>1270</v>
      </c>
      <c r="D82" s="71" t="s">
        <v>1269</v>
      </c>
      <c r="E82" s="70">
        <v>0</v>
      </c>
      <c r="F82" s="70">
        <v>1054</v>
      </c>
      <c r="G82" s="66">
        <v>1210</v>
      </c>
      <c r="J82" s="115"/>
      <c r="K82" s="115"/>
    </row>
    <row r="83" spans="1:13">
      <c r="A83" s="69" t="s">
        <v>397</v>
      </c>
      <c r="B83" s="69" t="s">
        <v>1268</v>
      </c>
      <c r="C83" s="69" t="s">
        <v>1267</v>
      </c>
      <c r="D83" s="71" t="s">
        <v>1264</v>
      </c>
      <c r="E83" s="70">
        <v>1184</v>
      </c>
      <c r="F83" s="70">
        <v>20313</v>
      </c>
      <c r="G83" s="66">
        <v>3250</v>
      </c>
      <c r="J83" s="115"/>
      <c r="K83" s="115"/>
      <c r="M83" s="7">
        <v>1.5</v>
      </c>
    </row>
    <row r="84" spans="1:13">
      <c r="A84" s="69" t="s">
        <v>397</v>
      </c>
      <c r="B84" s="69" t="s">
        <v>1266</v>
      </c>
      <c r="C84" s="69" t="s">
        <v>1265</v>
      </c>
      <c r="D84" s="71" t="s">
        <v>1264</v>
      </c>
      <c r="E84" s="70">
        <v>1200</v>
      </c>
      <c r="F84" s="70">
        <v>20257</v>
      </c>
      <c r="G84" s="66">
        <v>3250</v>
      </c>
      <c r="J84" s="115"/>
      <c r="K84" s="115"/>
      <c r="M84" s="9">
        <v>1.5310999999999999</v>
      </c>
    </row>
    <row r="85" spans="1:13">
      <c r="A85" s="69" t="s">
        <v>374</v>
      </c>
      <c r="B85" s="69" t="s">
        <v>1263</v>
      </c>
      <c r="C85" s="69" t="s">
        <v>1262</v>
      </c>
      <c r="D85" s="71" t="s">
        <v>1261</v>
      </c>
      <c r="E85" s="70">
        <v>75</v>
      </c>
      <c r="F85" s="70">
        <v>716</v>
      </c>
      <c r="G85" s="66">
        <v>3250</v>
      </c>
      <c r="I85" s="52">
        <v>1.56002</v>
      </c>
      <c r="J85" s="115">
        <f>SUM(E99)/3.2808^2</f>
        <v>21.182408273037048</v>
      </c>
      <c r="K85" s="115">
        <f>SUM(F99)/3.2808^3</f>
        <v>64.904580079153931</v>
      </c>
      <c r="M85" s="127">
        <v>1.56</v>
      </c>
    </row>
    <row r="86" spans="1:13">
      <c r="A86" s="69" t="s">
        <v>397</v>
      </c>
      <c r="B86" s="69" t="s">
        <v>1260</v>
      </c>
      <c r="C86" s="69" t="s">
        <v>1259</v>
      </c>
      <c r="D86" s="71" t="s">
        <v>1258</v>
      </c>
      <c r="E86" s="70">
        <v>200</v>
      </c>
      <c r="F86" s="70">
        <v>1858</v>
      </c>
      <c r="G86" s="66">
        <v>3250</v>
      </c>
    </row>
    <row r="87" spans="1:13">
      <c r="A87" s="69" t="s">
        <v>383</v>
      </c>
      <c r="B87" s="69" t="s">
        <v>1257</v>
      </c>
      <c r="C87" s="69" t="s">
        <v>1256</v>
      </c>
      <c r="D87" s="71" t="s">
        <v>1255</v>
      </c>
      <c r="E87" s="70">
        <v>95</v>
      </c>
      <c r="F87" s="70">
        <v>977</v>
      </c>
      <c r="G87" s="66">
        <v>3340</v>
      </c>
      <c r="J87" s="105"/>
      <c r="K87" s="105"/>
      <c r="L87" s="115"/>
    </row>
    <row r="88" spans="1:13">
      <c r="A88" s="69" t="s">
        <v>397</v>
      </c>
      <c r="B88" s="69" t="s">
        <v>1254</v>
      </c>
      <c r="C88" s="69" t="s">
        <v>1253</v>
      </c>
      <c r="D88" s="71" t="s">
        <v>1252</v>
      </c>
      <c r="E88" s="70">
        <v>75</v>
      </c>
      <c r="F88" s="70">
        <v>572</v>
      </c>
      <c r="G88" s="66">
        <v>3250</v>
      </c>
      <c r="M88" s="7">
        <v>1.6</v>
      </c>
    </row>
    <row r="89" spans="1:13">
      <c r="A89" s="69" t="s">
        <v>451</v>
      </c>
      <c r="B89" s="69" t="s">
        <v>1251</v>
      </c>
      <c r="C89" s="69" t="s">
        <v>1250</v>
      </c>
      <c r="D89" s="71" t="s">
        <v>1249</v>
      </c>
      <c r="E89" s="70">
        <v>0</v>
      </c>
      <c r="F89" s="70">
        <v>37</v>
      </c>
      <c r="G89" s="66">
        <v>3320</v>
      </c>
      <c r="M89" s="7">
        <v>1.7</v>
      </c>
    </row>
    <row r="90" spans="1:13">
      <c r="A90" s="81" t="s">
        <v>451</v>
      </c>
      <c r="B90" s="81" t="s">
        <v>1248</v>
      </c>
      <c r="C90" s="81" t="s">
        <v>1247</v>
      </c>
      <c r="D90" s="80" t="s">
        <v>1246</v>
      </c>
      <c r="E90" s="79">
        <v>0</v>
      </c>
      <c r="F90" s="79">
        <v>1425</v>
      </c>
      <c r="G90" s="78">
        <v>3420</v>
      </c>
      <c r="M90" s="8">
        <v>1.71</v>
      </c>
    </row>
    <row r="91" spans="1:13">
      <c r="A91" s="69" t="s">
        <v>383</v>
      </c>
      <c r="B91" s="69" t="s">
        <v>1245</v>
      </c>
      <c r="C91" s="69" t="s">
        <v>1244</v>
      </c>
      <c r="D91" s="71" t="s">
        <v>1237</v>
      </c>
      <c r="E91" s="70">
        <v>208</v>
      </c>
      <c r="F91" s="70">
        <v>2087</v>
      </c>
      <c r="G91" s="66">
        <v>3340</v>
      </c>
      <c r="M91" s="8">
        <v>1.72</v>
      </c>
    </row>
    <row r="92" spans="1:13">
      <c r="A92" s="77" t="s">
        <v>374</v>
      </c>
      <c r="B92" s="77" t="s">
        <v>1243</v>
      </c>
      <c r="C92" s="77" t="s">
        <v>1242</v>
      </c>
      <c r="D92" s="76" t="s">
        <v>1237</v>
      </c>
      <c r="E92" s="75">
        <v>57</v>
      </c>
      <c r="F92" s="75">
        <v>607</v>
      </c>
      <c r="G92" s="74">
        <v>3250</v>
      </c>
      <c r="M92" s="8">
        <v>1.73</v>
      </c>
    </row>
    <row r="93" spans="1:13">
      <c r="A93" s="69" t="s">
        <v>374</v>
      </c>
      <c r="B93" s="69" t="s">
        <v>1241</v>
      </c>
      <c r="C93" s="69" t="s">
        <v>1240</v>
      </c>
      <c r="D93" s="71" t="s">
        <v>1237</v>
      </c>
      <c r="E93" s="70">
        <v>56</v>
      </c>
      <c r="F93" s="70">
        <v>496</v>
      </c>
      <c r="G93" s="66">
        <v>3250</v>
      </c>
      <c r="M93" s="8">
        <v>1.74</v>
      </c>
    </row>
    <row r="94" spans="1:13">
      <c r="A94" s="69" t="s">
        <v>397</v>
      </c>
      <c r="B94" s="69" t="s">
        <v>1239</v>
      </c>
      <c r="C94" s="69" t="s">
        <v>1238</v>
      </c>
      <c r="D94" s="71" t="s">
        <v>1237</v>
      </c>
      <c r="E94" s="70">
        <v>19</v>
      </c>
      <c r="F94" s="70">
        <v>176</v>
      </c>
      <c r="G94" s="66">
        <v>3150</v>
      </c>
      <c r="M94" s="8">
        <v>1.75</v>
      </c>
    </row>
    <row r="95" spans="1:13">
      <c r="A95" s="69" t="s">
        <v>374</v>
      </c>
      <c r="B95" s="69" t="s">
        <v>1236</v>
      </c>
      <c r="C95" s="69" t="s">
        <v>1235</v>
      </c>
      <c r="D95" s="71" t="s">
        <v>1234</v>
      </c>
      <c r="E95" s="70">
        <v>56</v>
      </c>
      <c r="F95" s="70">
        <v>591</v>
      </c>
      <c r="G95" s="66">
        <v>4710</v>
      </c>
      <c r="M95" s="7">
        <v>1.8</v>
      </c>
    </row>
    <row r="96" spans="1:13">
      <c r="A96" s="69"/>
      <c r="B96" s="69"/>
      <c r="C96" s="69"/>
      <c r="D96" s="68" t="s">
        <v>370</v>
      </c>
      <c r="E96" s="67">
        <f>SUM(E77:E95)</f>
        <v>3863</v>
      </c>
      <c r="F96" s="67">
        <f>SUM(F77:F95)</f>
        <v>56982</v>
      </c>
      <c r="G96" s="66"/>
      <c r="M96" s="7">
        <v>1.9</v>
      </c>
    </row>
    <row r="97" spans="1:13">
      <c r="A97" s="69"/>
      <c r="B97" s="69"/>
      <c r="C97" s="69"/>
      <c r="D97" s="71"/>
      <c r="E97" s="70"/>
      <c r="F97" s="70"/>
      <c r="G97" s="66"/>
      <c r="M97" s="8">
        <v>1.91</v>
      </c>
    </row>
    <row r="98" spans="1:13">
      <c r="A98" s="82" t="s">
        <v>1233</v>
      </c>
      <c r="B98" s="69"/>
      <c r="C98" s="69"/>
      <c r="D98" s="71"/>
      <c r="E98" s="70"/>
      <c r="F98" s="70"/>
      <c r="G98" s="66"/>
      <c r="I98" s="59" t="s">
        <v>1226</v>
      </c>
      <c r="J98" s="129">
        <f>E103/3.2808^2</f>
        <v>5.0168861699298271</v>
      </c>
      <c r="K98" s="129">
        <f>F103/3.2808^3</f>
        <v>13.139496141678631</v>
      </c>
    </row>
    <row r="99" spans="1:13">
      <c r="A99" s="69" t="s">
        <v>374</v>
      </c>
      <c r="B99" s="69" t="s">
        <v>1232</v>
      </c>
      <c r="C99" s="69" t="s">
        <v>1231</v>
      </c>
      <c r="D99" s="71" t="s">
        <v>1230</v>
      </c>
      <c r="E99" s="70">
        <v>228</v>
      </c>
      <c r="F99" s="70">
        <v>2292</v>
      </c>
      <c r="G99" s="66">
        <v>4410</v>
      </c>
      <c r="M99" s="8">
        <v>1.92</v>
      </c>
    </row>
    <row r="100" spans="1:13">
      <c r="A100" s="69"/>
      <c r="B100" s="69"/>
      <c r="C100" s="69"/>
      <c r="D100" s="68" t="s">
        <v>370</v>
      </c>
      <c r="E100" s="67">
        <f>SUM(E99)</f>
        <v>228</v>
      </c>
      <c r="F100" s="67">
        <f>SUM(F99)</f>
        <v>2292</v>
      </c>
      <c r="G100" s="66"/>
      <c r="I100" s="59" t="s">
        <v>1221</v>
      </c>
      <c r="J100" s="129">
        <f>SUM(E104:E105)/3.2808^2</f>
        <v>2.9729695821806383</v>
      </c>
      <c r="K100" s="129">
        <f>SUM(F104:F105)/3.2808^3</f>
        <v>7.9573241720079642</v>
      </c>
    </row>
    <row r="101" spans="1:13">
      <c r="A101" s="69"/>
      <c r="B101" s="69"/>
      <c r="C101" s="69"/>
      <c r="D101" s="71"/>
      <c r="E101" s="70"/>
      <c r="F101" s="70"/>
      <c r="G101" s="66"/>
      <c r="J101" s="129"/>
      <c r="K101" s="129"/>
      <c r="M101" s="8">
        <v>1.93</v>
      </c>
    </row>
    <row r="102" spans="1:13">
      <c r="A102" s="82" t="s">
        <v>1229</v>
      </c>
      <c r="B102" s="69"/>
      <c r="C102" s="69"/>
      <c r="D102" s="71"/>
      <c r="E102" s="70"/>
      <c r="F102" s="70"/>
      <c r="G102" s="66"/>
      <c r="M102" s="8">
        <v>1.94</v>
      </c>
    </row>
    <row r="103" spans="1:13">
      <c r="A103" s="69" t="s">
        <v>393</v>
      </c>
      <c r="B103" s="69" t="s">
        <v>1228</v>
      </c>
      <c r="C103" s="69" t="s">
        <v>1227</v>
      </c>
      <c r="D103" s="71" t="s">
        <v>1226</v>
      </c>
      <c r="E103" s="70">
        <v>54</v>
      </c>
      <c r="F103" s="70">
        <v>464</v>
      </c>
      <c r="G103" s="66">
        <v>3230</v>
      </c>
      <c r="I103" s="59" t="s">
        <v>1218</v>
      </c>
      <c r="J103" s="129">
        <f>E106/3.2808^2</f>
        <v>11.520257130949974</v>
      </c>
      <c r="K103" s="129">
        <f>F106/3.2808^3</f>
        <v>36.218568028463295</v>
      </c>
    </row>
    <row r="104" spans="1:13">
      <c r="A104" s="69" t="s">
        <v>393</v>
      </c>
      <c r="B104" s="69" t="s">
        <v>1225</v>
      </c>
      <c r="C104" s="69" t="s">
        <v>1224</v>
      </c>
      <c r="D104" s="71" t="s">
        <v>1221</v>
      </c>
      <c r="E104" s="70">
        <v>18</v>
      </c>
      <c r="F104" s="70">
        <v>155</v>
      </c>
      <c r="G104" s="66">
        <v>3230</v>
      </c>
      <c r="M104" s="8">
        <v>1.95</v>
      </c>
    </row>
    <row r="105" spans="1:13">
      <c r="A105" s="69" t="s">
        <v>397</v>
      </c>
      <c r="B105" s="69" t="s">
        <v>1223</v>
      </c>
      <c r="C105" s="69" t="s">
        <v>1222</v>
      </c>
      <c r="D105" s="71" t="s">
        <v>1221</v>
      </c>
      <c r="E105" s="70">
        <v>14</v>
      </c>
      <c r="F105" s="70">
        <v>126</v>
      </c>
      <c r="G105" s="66">
        <v>3250</v>
      </c>
      <c r="M105" s="3"/>
    </row>
    <row r="106" spans="1:13">
      <c r="A106" s="69" t="s">
        <v>383</v>
      </c>
      <c r="B106" s="69" t="s">
        <v>1220</v>
      </c>
      <c r="C106" s="69" t="s">
        <v>1219</v>
      </c>
      <c r="D106" s="71" t="s">
        <v>1218</v>
      </c>
      <c r="E106" s="70">
        <v>124</v>
      </c>
      <c r="F106" s="70">
        <v>1279</v>
      </c>
      <c r="G106" s="66">
        <v>3330</v>
      </c>
      <c r="M106" s="1"/>
    </row>
    <row r="107" spans="1:13">
      <c r="A107" s="69"/>
      <c r="B107" s="69"/>
      <c r="C107" s="69"/>
      <c r="D107" s="68" t="s">
        <v>370</v>
      </c>
      <c r="E107" s="67">
        <f>SUM(E103:E106)</f>
        <v>210</v>
      </c>
      <c r="F107" s="67">
        <f>SUM(F103:F106)</f>
        <v>2024</v>
      </c>
      <c r="G107" s="66"/>
    </row>
    <row r="108" spans="1:13">
      <c r="A108" s="69"/>
      <c r="B108" s="69"/>
      <c r="C108" s="69"/>
      <c r="D108" s="68" t="s">
        <v>1217</v>
      </c>
      <c r="E108" s="67">
        <f>E107+E100+E96+E74+E45</f>
        <v>22703</v>
      </c>
      <c r="F108" s="67">
        <f>F107+F100+F96+F74+F45</f>
        <v>247721</v>
      </c>
      <c r="G108" s="66"/>
    </row>
    <row r="109" spans="1:13">
      <c r="A109" s="69"/>
      <c r="B109" s="69"/>
      <c r="C109" s="69"/>
      <c r="D109" s="68"/>
      <c r="E109" s="67"/>
      <c r="F109" s="67"/>
      <c r="G109" s="66"/>
    </row>
    <row r="110" spans="1:13">
      <c r="A110" s="82" t="s">
        <v>1216</v>
      </c>
      <c r="B110" s="69"/>
      <c r="C110" s="69"/>
      <c r="D110" s="68"/>
      <c r="E110" s="67"/>
      <c r="F110" s="67"/>
      <c r="G110" s="66"/>
    </row>
    <row r="111" spans="1:13">
      <c r="A111" s="82" t="s">
        <v>1215</v>
      </c>
      <c r="B111" s="69"/>
      <c r="C111" s="69"/>
      <c r="D111" s="71"/>
      <c r="E111" s="70"/>
      <c r="F111" s="70"/>
      <c r="G111" s="66"/>
      <c r="M111" s="1">
        <v>2</v>
      </c>
    </row>
    <row r="112" spans="1:13">
      <c r="A112" s="69" t="s">
        <v>443</v>
      </c>
      <c r="B112" s="69" t="s">
        <v>1214</v>
      </c>
      <c r="C112" s="69" t="s">
        <v>1203</v>
      </c>
      <c r="D112" s="71" t="s">
        <v>1200</v>
      </c>
      <c r="E112" s="70">
        <v>115</v>
      </c>
      <c r="F112" s="70">
        <v>938</v>
      </c>
      <c r="G112" s="66">
        <v>4220</v>
      </c>
      <c r="M112" s="7">
        <v>2.1</v>
      </c>
    </row>
    <row r="113" spans="1:14">
      <c r="A113" s="69" t="s">
        <v>443</v>
      </c>
      <c r="B113" s="69" t="s">
        <v>1213</v>
      </c>
      <c r="C113" s="69" t="s">
        <v>1203</v>
      </c>
      <c r="D113" s="71" t="s">
        <v>1200</v>
      </c>
      <c r="E113" s="70">
        <v>110</v>
      </c>
      <c r="F113" s="70">
        <v>901</v>
      </c>
      <c r="G113" s="66">
        <v>4220</v>
      </c>
      <c r="M113" s="8">
        <v>2.11</v>
      </c>
    </row>
    <row r="114" spans="1:14">
      <c r="A114" s="69" t="s">
        <v>443</v>
      </c>
      <c r="B114" s="69" t="s">
        <v>1212</v>
      </c>
      <c r="C114" s="69" t="s">
        <v>1203</v>
      </c>
      <c r="D114" s="71" t="s">
        <v>1200</v>
      </c>
      <c r="E114" s="70">
        <v>115</v>
      </c>
      <c r="F114" s="70">
        <v>938</v>
      </c>
      <c r="G114" s="66">
        <v>4220</v>
      </c>
      <c r="I114" s="54"/>
      <c r="M114" s="9">
        <v>2.1110000000000002</v>
      </c>
    </row>
    <row r="115" spans="1:14">
      <c r="A115" s="69" t="s">
        <v>443</v>
      </c>
      <c r="B115" s="69" t="s">
        <v>1211</v>
      </c>
      <c r="C115" s="69" t="s">
        <v>1203</v>
      </c>
      <c r="D115" s="71" t="s">
        <v>1200</v>
      </c>
      <c r="E115" s="70">
        <v>110</v>
      </c>
      <c r="F115" s="70">
        <v>901</v>
      </c>
      <c r="G115" s="66">
        <v>4220</v>
      </c>
      <c r="I115" s="59" t="s">
        <v>1200</v>
      </c>
      <c r="J115" s="126">
        <f>SUM(E112:E123)/3.2808^2</f>
        <v>149.29881620513393</v>
      </c>
      <c r="K115" s="126">
        <f>SUM(F112:F123)/3.2808^3</f>
        <v>404.29436727315908</v>
      </c>
    </row>
    <row r="116" spans="1:14">
      <c r="A116" s="69" t="s">
        <v>443</v>
      </c>
      <c r="B116" s="69" t="s">
        <v>1210</v>
      </c>
      <c r="C116" s="69" t="s">
        <v>1203</v>
      </c>
      <c r="D116" s="71" t="s">
        <v>1200</v>
      </c>
      <c r="E116" s="70">
        <v>104</v>
      </c>
      <c r="F116" s="70">
        <v>850</v>
      </c>
      <c r="G116" s="66">
        <v>4220</v>
      </c>
      <c r="I116" s="54"/>
      <c r="J116" s="126"/>
      <c r="K116" s="126"/>
      <c r="M116" s="10">
        <v>2.1111</v>
      </c>
    </row>
    <row r="117" spans="1:14">
      <c r="A117" s="83" t="s">
        <v>374</v>
      </c>
      <c r="B117" s="83" t="s">
        <v>1209</v>
      </c>
      <c r="C117" s="83" t="s">
        <v>1203</v>
      </c>
      <c r="D117" s="71">
        <v>2.1110000599999998</v>
      </c>
      <c r="E117" s="70">
        <v>151</v>
      </c>
      <c r="F117" s="70">
        <v>1386</v>
      </c>
      <c r="G117" s="66">
        <v>4610</v>
      </c>
      <c r="I117" s="54"/>
      <c r="J117" s="126"/>
      <c r="K117" s="126"/>
      <c r="M117" s="12">
        <v>2.1111100999999999</v>
      </c>
    </row>
    <row r="118" spans="1:14">
      <c r="A118" s="69" t="s">
        <v>374</v>
      </c>
      <c r="B118" s="69" t="s">
        <v>1208</v>
      </c>
      <c r="C118" s="69" t="s">
        <v>1203</v>
      </c>
      <c r="D118" s="71" t="s">
        <v>1200</v>
      </c>
      <c r="E118" s="70">
        <v>126</v>
      </c>
      <c r="F118" s="70">
        <v>1212</v>
      </c>
      <c r="G118" s="66">
        <v>4610</v>
      </c>
      <c r="I118" s="59" t="s">
        <v>1197</v>
      </c>
      <c r="J118" s="126">
        <f>SUM(E124)/3.2808^2</f>
        <v>13.006741922040293</v>
      </c>
      <c r="K118" s="126">
        <f>SUM(F124)/3.2808^3</f>
        <v>33.698276742667183</v>
      </c>
    </row>
    <row r="119" spans="1:14">
      <c r="A119" s="69" t="s">
        <v>374</v>
      </c>
      <c r="B119" s="69" t="s">
        <v>1207</v>
      </c>
      <c r="C119" s="69" t="s">
        <v>1203</v>
      </c>
      <c r="D119" s="71" t="s">
        <v>1200</v>
      </c>
      <c r="E119" s="70">
        <v>140</v>
      </c>
      <c r="F119" s="70">
        <v>1435</v>
      </c>
      <c r="G119" s="66">
        <v>4710</v>
      </c>
      <c r="I119" s="59" t="s">
        <v>1194</v>
      </c>
      <c r="J119" s="126">
        <f>SUM(E125)/3.2808^2</f>
        <v>17.837817493083829</v>
      </c>
      <c r="K119" s="126">
        <f>SUM(F125)/3.2808^3</f>
        <v>42.335230025451622</v>
      </c>
    </row>
    <row r="120" spans="1:14">
      <c r="A120" s="69" t="s">
        <v>374</v>
      </c>
      <c r="B120" s="69" t="s">
        <v>1206</v>
      </c>
      <c r="C120" s="69" t="s">
        <v>1203</v>
      </c>
      <c r="D120" s="71" t="s">
        <v>1200</v>
      </c>
      <c r="E120" s="70">
        <v>108</v>
      </c>
      <c r="F120" s="70">
        <v>1134</v>
      </c>
      <c r="G120" s="66">
        <v>4710</v>
      </c>
      <c r="M120" s="12">
        <v>2.1111103999999998</v>
      </c>
    </row>
    <row r="121" spans="1:14">
      <c r="A121" s="83" t="s">
        <v>374</v>
      </c>
      <c r="B121" s="83" t="s">
        <v>1205</v>
      </c>
      <c r="C121" s="83" t="s">
        <v>1203</v>
      </c>
      <c r="D121" s="71">
        <v>2.1110000599999998</v>
      </c>
      <c r="E121" s="70">
        <v>138</v>
      </c>
      <c r="F121" s="70">
        <v>1267</v>
      </c>
      <c r="G121" s="66">
        <v>4710</v>
      </c>
      <c r="I121" s="71" t="s">
        <v>1191</v>
      </c>
      <c r="J121" s="126">
        <f>SUM(E126)/3.2808^2</f>
        <v>14.307416114244322</v>
      </c>
      <c r="K121" s="126">
        <f>SUM(F126)/3.2808^3</f>
        <v>33.669958863051491</v>
      </c>
    </row>
    <row r="122" spans="1:14">
      <c r="A122" s="83" t="s">
        <v>374</v>
      </c>
      <c r="B122" s="83" t="s">
        <v>1204</v>
      </c>
      <c r="C122" s="83" t="s">
        <v>1203</v>
      </c>
      <c r="D122" s="71">
        <v>2.1110000599999998</v>
      </c>
      <c r="E122" s="70">
        <v>132</v>
      </c>
      <c r="F122" s="70">
        <v>1203</v>
      </c>
      <c r="G122" s="66">
        <v>4710</v>
      </c>
      <c r="I122" s="71" t="s">
        <v>1188</v>
      </c>
      <c r="J122" s="126">
        <f>SUM(E127)/3.2808^2</f>
        <v>13.192552520926583</v>
      </c>
      <c r="K122" s="126">
        <f>SUM(F127)/3.2808^3</f>
        <v>34.179680696133858</v>
      </c>
      <c r="M122" s="12">
        <v>2.1111206</v>
      </c>
    </row>
    <row r="123" spans="1:14">
      <c r="A123" s="69" t="s">
        <v>443</v>
      </c>
      <c r="B123" s="69" t="s">
        <v>1202</v>
      </c>
      <c r="C123" s="69" t="s">
        <v>1201</v>
      </c>
      <c r="D123" s="71" t="s">
        <v>1200</v>
      </c>
      <c r="E123" s="70">
        <v>258</v>
      </c>
      <c r="F123" s="70">
        <v>2112</v>
      </c>
      <c r="G123" s="66">
        <v>4220</v>
      </c>
      <c r="M123" s="12">
        <v>2.1111230000000001</v>
      </c>
    </row>
    <row r="124" spans="1:14" s="53" customFormat="1">
      <c r="A124" s="69" t="s">
        <v>428</v>
      </c>
      <c r="B124" s="69" t="s">
        <v>1199</v>
      </c>
      <c r="C124" s="69" t="s">
        <v>1198</v>
      </c>
      <c r="D124" s="71" t="s">
        <v>1197</v>
      </c>
      <c r="E124" s="70">
        <v>140</v>
      </c>
      <c r="F124" s="70">
        <v>1190</v>
      </c>
      <c r="G124" s="66">
        <v>4240</v>
      </c>
      <c r="M124" s="12">
        <v>2.1111301999999998</v>
      </c>
      <c r="N124" s="52"/>
    </row>
    <row r="125" spans="1:14" s="53" customFormat="1">
      <c r="A125" s="69" t="s">
        <v>443</v>
      </c>
      <c r="B125" s="69" t="s">
        <v>1196</v>
      </c>
      <c r="C125" s="69" t="s">
        <v>1195</v>
      </c>
      <c r="D125" s="71" t="s">
        <v>1194</v>
      </c>
      <c r="E125" s="70">
        <v>192</v>
      </c>
      <c r="F125" s="70">
        <v>1495</v>
      </c>
      <c r="G125" s="66">
        <v>4220</v>
      </c>
      <c r="M125" s="10">
        <v>2.1114000000000002</v>
      </c>
      <c r="N125" s="52"/>
    </row>
    <row r="126" spans="1:14" s="53" customFormat="1">
      <c r="A126" s="69" t="s">
        <v>443</v>
      </c>
      <c r="B126" s="69" t="s">
        <v>1193</v>
      </c>
      <c r="C126" s="69" t="s">
        <v>1192</v>
      </c>
      <c r="D126" s="71" t="s">
        <v>1191</v>
      </c>
      <c r="E126" s="70">
        <v>154</v>
      </c>
      <c r="F126" s="70">
        <v>1189</v>
      </c>
      <c r="G126" s="66">
        <v>4220</v>
      </c>
      <c r="M126" s="10">
        <v>2.1114999999999999</v>
      </c>
      <c r="N126" s="52"/>
    </row>
    <row r="127" spans="1:14" s="53" customFormat="1">
      <c r="A127" s="69" t="s">
        <v>374</v>
      </c>
      <c r="B127" s="69" t="s">
        <v>1190</v>
      </c>
      <c r="C127" s="69" t="s">
        <v>1189</v>
      </c>
      <c r="D127" s="71" t="s">
        <v>1188</v>
      </c>
      <c r="E127" s="70">
        <v>142</v>
      </c>
      <c r="F127" s="70">
        <v>1207</v>
      </c>
      <c r="G127" s="66">
        <v>4210</v>
      </c>
      <c r="M127" s="9">
        <v>2.1120000000000001</v>
      </c>
      <c r="N127" s="52"/>
    </row>
    <row r="128" spans="1:14" s="53" customFormat="1">
      <c r="A128" s="69" t="s">
        <v>443</v>
      </c>
      <c r="B128" s="69" t="s">
        <v>1187</v>
      </c>
      <c r="C128" s="69" t="s">
        <v>1186</v>
      </c>
      <c r="D128" s="71" t="s">
        <v>1185</v>
      </c>
      <c r="E128" s="70">
        <v>74</v>
      </c>
      <c r="F128" s="70">
        <v>524</v>
      </c>
      <c r="G128" s="66">
        <v>4220</v>
      </c>
      <c r="I128" s="71" t="s">
        <v>1185</v>
      </c>
      <c r="J128" s="126">
        <f t="shared" ref="J128:J130" si="0">SUM(E128)/3.2808^2</f>
        <v>6.8749921587927263</v>
      </c>
      <c r="K128" s="126">
        <f t="shared" ref="K128:K130" si="1">SUM(F128)/3.2808^3</f>
        <v>14.838568918619835</v>
      </c>
      <c r="M128" s="10">
        <v>2.1120999999999999</v>
      </c>
      <c r="N128" s="52"/>
    </row>
    <row r="129" spans="1:14" s="53" customFormat="1">
      <c r="A129" s="69" t="s">
        <v>428</v>
      </c>
      <c r="B129" s="69" t="s">
        <v>1184</v>
      </c>
      <c r="C129" s="69" t="s">
        <v>1183</v>
      </c>
      <c r="D129" s="71" t="s">
        <v>1182</v>
      </c>
      <c r="E129" s="70">
        <v>46</v>
      </c>
      <c r="F129" s="70">
        <v>391</v>
      </c>
      <c r="G129" s="66">
        <v>4240</v>
      </c>
      <c r="I129" s="71" t="s">
        <v>1182</v>
      </c>
      <c r="J129" s="126">
        <f t="shared" si="0"/>
        <v>4.2736437743846674</v>
      </c>
      <c r="K129" s="126">
        <f t="shared" si="1"/>
        <v>11.072290929733501</v>
      </c>
      <c r="M129" s="12">
        <v>2.1121101000000002</v>
      </c>
      <c r="N129" s="52"/>
    </row>
    <row r="130" spans="1:14" s="53" customFormat="1">
      <c r="A130" s="69" t="s">
        <v>374</v>
      </c>
      <c r="B130" s="69" t="s">
        <v>1181</v>
      </c>
      <c r="C130" s="69" t="s">
        <v>1180</v>
      </c>
      <c r="D130" s="71" t="s">
        <v>1179</v>
      </c>
      <c r="E130" s="70">
        <v>33</v>
      </c>
      <c r="F130" s="70">
        <v>281</v>
      </c>
      <c r="G130" s="66">
        <v>4210</v>
      </c>
      <c r="I130" s="71" t="s">
        <v>1179</v>
      </c>
      <c r="J130" s="126">
        <f t="shared" si="0"/>
        <v>3.0658748816237833</v>
      </c>
      <c r="K130" s="126">
        <f t="shared" si="1"/>
        <v>7.9573241720079642</v>
      </c>
      <c r="M130" s="12">
        <v>2.1121200999999998</v>
      </c>
      <c r="N130" s="52"/>
    </row>
    <row r="131" spans="1:14" s="53" customFormat="1">
      <c r="A131" s="83" t="s">
        <v>374</v>
      </c>
      <c r="B131" s="83" t="s">
        <v>1178</v>
      </c>
      <c r="C131" s="83" t="s">
        <v>1177</v>
      </c>
      <c r="D131" s="71">
        <v>2.1121300000000001</v>
      </c>
      <c r="E131" s="70">
        <v>34</v>
      </c>
      <c r="F131" s="70">
        <v>312</v>
      </c>
      <c r="G131" s="66">
        <v>4610</v>
      </c>
      <c r="I131" s="71">
        <v>2.1121300000000001</v>
      </c>
      <c r="J131" s="126">
        <f>SUM(E131:E133)/3.2808^2</f>
        <v>24.526999052990266</v>
      </c>
      <c r="K131" s="126">
        <f>SUM(F131:F133)/3.2808^3</f>
        <v>64.62140128299707</v>
      </c>
      <c r="M131" s="12">
        <v>2.1121203</v>
      </c>
      <c r="N131" s="52"/>
    </row>
    <row r="132" spans="1:14">
      <c r="A132" s="69" t="s">
        <v>443</v>
      </c>
      <c r="B132" s="69" t="s">
        <v>1176</v>
      </c>
      <c r="C132" s="69" t="s">
        <v>1174</v>
      </c>
      <c r="D132" s="71" t="s">
        <v>1173</v>
      </c>
      <c r="E132" s="70">
        <v>107</v>
      </c>
      <c r="F132" s="70">
        <v>870</v>
      </c>
      <c r="G132" s="66">
        <v>4220</v>
      </c>
      <c r="I132" s="71"/>
      <c r="M132" s="12">
        <v>2.1121303</v>
      </c>
    </row>
    <row r="133" spans="1:14">
      <c r="A133" s="69" t="s">
        <v>374</v>
      </c>
      <c r="B133" s="69" t="s">
        <v>1175</v>
      </c>
      <c r="C133" s="69" t="s">
        <v>1174</v>
      </c>
      <c r="D133" s="71" t="s">
        <v>1173</v>
      </c>
      <c r="E133" s="70">
        <v>123</v>
      </c>
      <c r="F133" s="70">
        <v>1100</v>
      </c>
      <c r="G133" s="66">
        <v>3250</v>
      </c>
      <c r="I133" s="71"/>
      <c r="M133" s="10">
        <v>2.1124000000000001</v>
      </c>
    </row>
    <row r="134" spans="1:14">
      <c r="A134" s="69" t="s">
        <v>443</v>
      </c>
      <c r="B134" s="69" t="s">
        <v>1172</v>
      </c>
      <c r="C134" s="69" t="s">
        <v>1171</v>
      </c>
      <c r="D134" s="71">
        <v>2.1121305000000001</v>
      </c>
      <c r="E134" s="70">
        <v>19</v>
      </c>
      <c r="F134" s="70">
        <v>156</v>
      </c>
      <c r="G134" s="66">
        <v>4220</v>
      </c>
      <c r="I134" s="71">
        <v>2.1121305000000001</v>
      </c>
      <c r="J134" s="126">
        <f t="shared" ref="J134:J135" si="2">SUM(E134)/3.2808^2</f>
        <v>1.7652006894197541</v>
      </c>
      <c r="K134" s="126">
        <f t="shared" ref="K134:K135" si="3">SUM(F134)/3.2808^3</f>
        <v>4.4175892200471258</v>
      </c>
      <c r="M134" s="10">
        <v>2.1124999999999998</v>
      </c>
    </row>
    <row r="135" spans="1:14">
      <c r="A135" s="69" t="s">
        <v>443</v>
      </c>
      <c r="B135" s="69" t="s">
        <v>1170</v>
      </c>
      <c r="C135" s="69" t="s">
        <v>1169</v>
      </c>
      <c r="D135" s="71">
        <v>2.1121306</v>
      </c>
      <c r="E135" s="70">
        <v>16</v>
      </c>
      <c r="F135" s="70">
        <v>131</v>
      </c>
      <c r="G135" s="66">
        <v>4220</v>
      </c>
      <c r="I135" s="71">
        <v>2.1121306</v>
      </c>
      <c r="J135" s="126">
        <f t="shared" si="2"/>
        <v>1.4864847910903192</v>
      </c>
      <c r="K135" s="126">
        <f t="shared" si="3"/>
        <v>3.7096422296549587</v>
      </c>
      <c r="M135" s="8">
        <v>2.12</v>
      </c>
    </row>
    <row r="136" spans="1:14">
      <c r="A136" s="83" t="s">
        <v>397</v>
      </c>
      <c r="B136" s="83" t="s">
        <v>1168</v>
      </c>
      <c r="C136" s="83" t="s">
        <v>1167</v>
      </c>
      <c r="D136" s="71">
        <v>2.1211020899999999</v>
      </c>
      <c r="E136" s="70">
        <v>254</v>
      </c>
      <c r="F136" s="70">
        <v>2436</v>
      </c>
      <c r="G136" s="66">
        <v>1450</v>
      </c>
      <c r="I136" s="71">
        <v>2.1211020899999999</v>
      </c>
      <c r="J136" s="126">
        <f t="shared" ref="J136" si="4">SUM(E136)/3.2808^2</f>
        <v>23.597946058558819</v>
      </c>
      <c r="K136" s="126">
        <f t="shared" ref="K136" si="5">SUM(F136)/3.2808^3</f>
        <v>68.98235474381282</v>
      </c>
      <c r="M136" s="9">
        <v>2.121</v>
      </c>
    </row>
    <row r="137" spans="1:14">
      <c r="A137" s="69" t="s">
        <v>397</v>
      </c>
      <c r="B137" s="69" t="s">
        <v>1166</v>
      </c>
      <c r="C137" s="69" t="s">
        <v>1165</v>
      </c>
      <c r="D137" s="71" t="s">
        <v>1160</v>
      </c>
      <c r="E137" s="70">
        <v>76</v>
      </c>
      <c r="F137" s="70">
        <v>752</v>
      </c>
      <c r="G137" s="66">
        <v>1450</v>
      </c>
      <c r="I137" s="71" t="s">
        <v>1160</v>
      </c>
      <c r="J137" s="126">
        <f>SUM(E137:E139)/3.2808^2</f>
        <v>38.648604568348297</v>
      </c>
      <c r="K137" s="126">
        <f>SUM(F137:F139)/3.2808^3</f>
        <v>119.58640561704496</v>
      </c>
      <c r="M137" s="10">
        <v>2.1211000000000002</v>
      </c>
    </row>
    <row r="138" spans="1:14">
      <c r="A138" s="69" t="s">
        <v>397</v>
      </c>
      <c r="B138" s="69" t="s">
        <v>1164</v>
      </c>
      <c r="C138" s="69" t="s">
        <v>1163</v>
      </c>
      <c r="D138" s="71" t="s">
        <v>1160</v>
      </c>
      <c r="E138" s="70">
        <v>64</v>
      </c>
      <c r="F138" s="70">
        <v>636</v>
      </c>
      <c r="G138" s="66">
        <v>1450</v>
      </c>
      <c r="I138" s="71"/>
      <c r="M138" s="9">
        <v>2.1219999999999999</v>
      </c>
    </row>
    <row r="139" spans="1:14">
      <c r="A139" s="69" t="s">
        <v>383</v>
      </c>
      <c r="B139" s="69" t="s">
        <v>1162</v>
      </c>
      <c r="C139" s="69" t="s">
        <v>1161</v>
      </c>
      <c r="D139" s="71" t="s">
        <v>1160</v>
      </c>
      <c r="E139" s="70">
        <v>276</v>
      </c>
      <c r="F139" s="70">
        <v>2835</v>
      </c>
      <c r="G139" s="66">
        <v>3240</v>
      </c>
      <c r="I139" s="71"/>
      <c r="M139" s="10">
        <v>2.1221000000000001</v>
      </c>
    </row>
    <row r="140" spans="1:14">
      <c r="A140" s="83" t="s">
        <v>397</v>
      </c>
      <c r="B140" s="83" t="s">
        <v>1159</v>
      </c>
      <c r="C140" s="83" t="s">
        <v>1154</v>
      </c>
      <c r="D140" s="71">
        <v>2.1221010699999998</v>
      </c>
      <c r="E140" s="70">
        <v>115</v>
      </c>
      <c r="F140" s="70">
        <v>1254</v>
      </c>
      <c r="G140" s="66">
        <v>1450</v>
      </c>
      <c r="I140" s="71">
        <v>2.1221010699999998</v>
      </c>
      <c r="J140" s="126">
        <f t="shared" ref="J140:J145" si="6">SUM(E140)/3.2808^2</f>
        <v>10.68410943596167</v>
      </c>
      <c r="K140" s="126">
        <f t="shared" ref="K140:K145" si="7">SUM(F140)/3.2808^3</f>
        <v>35.510621038071129</v>
      </c>
      <c r="M140" s="8">
        <v>2.13</v>
      </c>
    </row>
    <row r="141" spans="1:14">
      <c r="A141" s="69" t="s">
        <v>397</v>
      </c>
      <c r="B141" s="69" t="s">
        <v>1158</v>
      </c>
      <c r="C141" s="69" t="s">
        <v>1157</v>
      </c>
      <c r="D141" s="71" t="s">
        <v>1156</v>
      </c>
      <c r="E141" s="70">
        <v>37</v>
      </c>
      <c r="F141" s="70">
        <v>407</v>
      </c>
      <c r="G141" s="66">
        <v>1450</v>
      </c>
      <c r="I141" s="71" t="s">
        <v>1156</v>
      </c>
      <c r="J141" s="126">
        <f t="shared" si="6"/>
        <v>3.4374960793963631</v>
      </c>
      <c r="K141" s="126">
        <f t="shared" si="7"/>
        <v>11.52537700358449</v>
      </c>
      <c r="M141" s="9">
        <v>2.1309999999999998</v>
      </c>
    </row>
    <row r="142" spans="1:14">
      <c r="A142" s="69" t="s">
        <v>383</v>
      </c>
      <c r="B142" s="69" t="s">
        <v>1155</v>
      </c>
      <c r="C142" s="69" t="s">
        <v>1154</v>
      </c>
      <c r="D142" s="71">
        <v>2.1221010900000001</v>
      </c>
      <c r="E142" s="70">
        <v>89</v>
      </c>
      <c r="F142" s="70">
        <v>842</v>
      </c>
      <c r="G142" s="66">
        <v>3240</v>
      </c>
      <c r="I142" s="71">
        <v>2.1221010900000001</v>
      </c>
      <c r="J142" s="126">
        <f t="shared" si="6"/>
        <v>8.2685716504399007</v>
      </c>
      <c r="K142" s="126">
        <f t="shared" si="7"/>
        <v>23.843654636408207</v>
      </c>
      <c r="M142" s="10">
        <v>2.1311</v>
      </c>
    </row>
    <row r="143" spans="1:14">
      <c r="A143" s="69" t="s">
        <v>383</v>
      </c>
      <c r="B143" s="69" t="s">
        <v>1153</v>
      </c>
      <c r="C143" s="69" t="s">
        <v>1152</v>
      </c>
      <c r="D143" s="71" t="s">
        <v>1135</v>
      </c>
      <c r="E143" s="70">
        <v>1262</v>
      </c>
      <c r="F143" s="70">
        <v>11563</v>
      </c>
      <c r="G143" s="66">
        <v>1440</v>
      </c>
      <c r="I143" s="71" t="s">
        <v>1135</v>
      </c>
      <c r="J143" s="126">
        <f t="shared" si="6"/>
        <v>117.24648789724893</v>
      </c>
      <c r="K143" s="126">
        <f t="shared" si="7"/>
        <v>327.4396419961854</v>
      </c>
      <c r="M143" s="10">
        <v>2.1311</v>
      </c>
    </row>
    <row r="144" spans="1:14">
      <c r="A144" s="83" t="s">
        <v>393</v>
      </c>
      <c r="B144" s="83" t="s">
        <v>1151</v>
      </c>
      <c r="C144" s="83" t="s">
        <v>1150</v>
      </c>
      <c r="D144" s="71">
        <v>2.1311020900000002</v>
      </c>
      <c r="E144" s="70">
        <v>379</v>
      </c>
      <c r="F144" s="70">
        <v>3638</v>
      </c>
      <c r="G144" s="66">
        <v>1430</v>
      </c>
      <c r="I144" s="71">
        <v>2.1311020900000002</v>
      </c>
      <c r="J144" s="126">
        <f t="shared" si="6"/>
        <v>35.211108488951936</v>
      </c>
      <c r="K144" s="126">
        <f t="shared" si="7"/>
        <v>103.02044604186824</v>
      </c>
      <c r="M144" s="9">
        <v>2.1320000000000001</v>
      </c>
    </row>
    <row r="145" spans="1:13">
      <c r="A145" s="69" t="s">
        <v>383</v>
      </c>
      <c r="B145" s="69" t="s">
        <v>1149</v>
      </c>
      <c r="C145" s="69" t="s">
        <v>1148</v>
      </c>
      <c r="D145" s="71" t="s">
        <v>1135</v>
      </c>
      <c r="E145" s="70">
        <v>483</v>
      </c>
      <c r="F145" s="70">
        <v>4428</v>
      </c>
      <c r="G145" s="66">
        <v>3140</v>
      </c>
      <c r="I145" s="71" t="s">
        <v>1135</v>
      </c>
      <c r="J145" s="126">
        <f t="shared" si="6"/>
        <v>44.873259631039012</v>
      </c>
      <c r="K145" s="126">
        <f t="shared" si="7"/>
        <v>125.39157093826073</v>
      </c>
      <c r="M145" s="10">
        <v>2.1320999999999999</v>
      </c>
    </row>
    <row r="146" spans="1:13">
      <c r="A146" s="83" t="s">
        <v>383</v>
      </c>
      <c r="B146" s="83" t="s">
        <v>1147</v>
      </c>
      <c r="C146" s="83" t="s">
        <v>1146</v>
      </c>
      <c r="D146" s="71">
        <v>2.1311020900000002</v>
      </c>
      <c r="E146" s="70">
        <v>723</v>
      </c>
      <c r="F146" s="70">
        <v>6664</v>
      </c>
      <c r="G146" s="66">
        <v>3140</v>
      </c>
      <c r="I146" s="71">
        <v>2.1311020900000002</v>
      </c>
      <c r="J146" s="126">
        <f>SUM(E146:E147)/3.2808^2</f>
        <v>87.516792075442538</v>
      </c>
      <c r="K146" s="126">
        <f>SUM(F146:F147)/3.2808^3</f>
        <v>247.15845328571356</v>
      </c>
      <c r="M146" s="10">
        <v>2.1320999999999999</v>
      </c>
    </row>
    <row r="147" spans="1:13">
      <c r="A147" s="83" t="s">
        <v>383</v>
      </c>
      <c r="B147" s="83" t="s">
        <v>1145</v>
      </c>
      <c r="C147" s="83" t="s">
        <v>1144</v>
      </c>
      <c r="D147" s="71">
        <v>2.1311020900000002</v>
      </c>
      <c r="E147" s="70">
        <v>219</v>
      </c>
      <c r="F147" s="70">
        <v>2064</v>
      </c>
      <c r="G147" s="66">
        <v>3240</v>
      </c>
      <c r="I147" s="71"/>
      <c r="M147" s="9">
        <v>2.133</v>
      </c>
    </row>
    <row r="148" spans="1:13">
      <c r="A148" s="69" t="s">
        <v>393</v>
      </c>
      <c r="B148" s="69" t="s">
        <v>1143</v>
      </c>
      <c r="C148" s="69" t="s">
        <v>1142</v>
      </c>
      <c r="D148" s="71" t="s">
        <v>1135</v>
      </c>
      <c r="E148" s="70">
        <v>403</v>
      </c>
      <c r="F148" s="70">
        <v>3781</v>
      </c>
      <c r="G148" s="66">
        <v>3130</v>
      </c>
      <c r="I148" s="71" t="s">
        <v>1135</v>
      </c>
      <c r="J148" s="126">
        <f>SUM(E148:E151)/3.2808^2</f>
        <v>133.41201000035613</v>
      </c>
      <c r="K148" s="126">
        <f>SUM(F148:F151)/3.2808^3</f>
        <v>360.31670022999765</v>
      </c>
      <c r="M148" s="10">
        <v>2.1331000000000002</v>
      </c>
    </row>
    <row r="149" spans="1:13">
      <c r="A149" s="69" t="s">
        <v>393</v>
      </c>
      <c r="B149" s="69" t="s">
        <v>1141</v>
      </c>
      <c r="C149" s="69" t="s">
        <v>1140</v>
      </c>
      <c r="D149" s="71" t="s">
        <v>1135</v>
      </c>
      <c r="E149" s="70">
        <v>455</v>
      </c>
      <c r="F149" s="70">
        <v>3726</v>
      </c>
      <c r="G149" s="66">
        <v>3130</v>
      </c>
      <c r="I149" s="71"/>
      <c r="M149" s="10">
        <v>2.1332</v>
      </c>
    </row>
    <row r="150" spans="1:13">
      <c r="A150" s="69" t="s">
        <v>393</v>
      </c>
      <c r="B150" s="69" t="s">
        <v>1139</v>
      </c>
      <c r="C150" s="69" t="s">
        <v>1138</v>
      </c>
      <c r="D150" s="71" t="s">
        <v>1135</v>
      </c>
      <c r="E150" s="70">
        <v>320</v>
      </c>
      <c r="F150" s="70">
        <v>3000</v>
      </c>
      <c r="G150" s="66">
        <v>3230</v>
      </c>
      <c r="I150" s="71"/>
      <c r="M150" s="10">
        <v>2.1335999999999999</v>
      </c>
    </row>
    <row r="151" spans="1:13">
      <c r="A151" s="69" t="s">
        <v>393</v>
      </c>
      <c r="B151" s="69" t="s">
        <v>1137</v>
      </c>
      <c r="C151" s="69" t="s">
        <v>1136</v>
      </c>
      <c r="D151" s="71" t="s">
        <v>1135</v>
      </c>
      <c r="E151" s="70">
        <v>258</v>
      </c>
      <c r="F151" s="70">
        <v>2217</v>
      </c>
      <c r="G151" s="66">
        <v>3230</v>
      </c>
      <c r="I151" s="71"/>
      <c r="M151" s="8">
        <v>2.14</v>
      </c>
    </row>
    <row r="152" spans="1:13">
      <c r="A152" s="69" t="s">
        <v>383</v>
      </c>
      <c r="B152" s="69" t="s">
        <v>1134</v>
      </c>
      <c r="C152" s="69" t="s">
        <v>1126</v>
      </c>
      <c r="D152" s="71">
        <v>2.132101</v>
      </c>
      <c r="E152" s="70">
        <v>209</v>
      </c>
      <c r="F152" s="70">
        <v>1915</v>
      </c>
      <c r="G152" s="66">
        <v>1440</v>
      </c>
      <c r="I152" s="71">
        <v>2.132101</v>
      </c>
      <c r="J152" s="126">
        <f>SUM(E152:E160)/3.2808^2</f>
        <v>103.9610300768792</v>
      </c>
      <c r="K152" s="126">
        <f>SUM(F152:F160)/3.2808^3</f>
        <v>289.21050451500832</v>
      </c>
      <c r="M152" s="9">
        <v>2.141</v>
      </c>
    </row>
    <row r="153" spans="1:13">
      <c r="A153" s="83" t="s">
        <v>383</v>
      </c>
      <c r="B153" s="83" t="s">
        <v>1133</v>
      </c>
      <c r="C153" s="83" t="s">
        <v>1126</v>
      </c>
      <c r="D153" s="71">
        <v>2.132101</v>
      </c>
      <c r="E153" s="70">
        <v>171</v>
      </c>
      <c r="F153" s="70">
        <v>1505</v>
      </c>
      <c r="G153" s="66">
        <v>3140</v>
      </c>
      <c r="I153" s="71"/>
      <c r="M153" s="9">
        <v>2.1419999999999999</v>
      </c>
    </row>
    <row r="154" spans="1:13">
      <c r="A154" s="83" t="s">
        <v>383</v>
      </c>
      <c r="B154" s="83" t="s">
        <v>1132</v>
      </c>
      <c r="C154" s="83" t="s">
        <v>1126</v>
      </c>
      <c r="D154" s="71">
        <v>2.132101</v>
      </c>
      <c r="E154" s="70">
        <v>196</v>
      </c>
      <c r="F154" s="70">
        <v>1725</v>
      </c>
      <c r="G154" s="66">
        <v>3140</v>
      </c>
      <c r="I154" s="71"/>
      <c r="M154" s="9">
        <v>2.1429999999999998</v>
      </c>
    </row>
    <row r="155" spans="1:13">
      <c r="A155" s="83" t="s">
        <v>383</v>
      </c>
      <c r="B155" s="83" t="s">
        <v>1131</v>
      </c>
      <c r="C155" s="83" t="s">
        <v>1126</v>
      </c>
      <c r="D155" s="71">
        <v>2.132101</v>
      </c>
      <c r="E155" s="70">
        <v>71</v>
      </c>
      <c r="F155" s="70">
        <v>708</v>
      </c>
      <c r="G155" s="66">
        <v>3240</v>
      </c>
      <c r="I155" s="71"/>
      <c r="M155" s="9">
        <v>2.1440000000000001</v>
      </c>
    </row>
    <row r="156" spans="1:13">
      <c r="A156" s="83" t="s">
        <v>393</v>
      </c>
      <c r="B156" s="83" t="s">
        <v>1130</v>
      </c>
      <c r="C156" s="83" t="s">
        <v>1126</v>
      </c>
      <c r="D156" s="71">
        <v>2.132101</v>
      </c>
      <c r="E156" s="70">
        <v>105</v>
      </c>
      <c r="F156" s="70">
        <v>903</v>
      </c>
      <c r="G156" s="66">
        <v>1430</v>
      </c>
      <c r="I156" s="71"/>
      <c r="M156" s="8">
        <v>2.15</v>
      </c>
    </row>
    <row r="157" spans="1:13">
      <c r="A157" s="69" t="s">
        <v>393</v>
      </c>
      <c r="B157" s="69" t="s">
        <v>1129</v>
      </c>
      <c r="C157" s="69" t="s">
        <v>1126</v>
      </c>
      <c r="D157" s="90" t="s">
        <v>1123</v>
      </c>
      <c r="E157" s="70">
        <v>90</v>
      </c>
      <c r="F157" s="70">
        <v>882</v>
      </c>
      <c r="G157" s="66">
        <v>3130</v>
      </c>
      <c r="I157" s="90"/>
      <c r="M157" s="9">
        <v>2.1509999999999998</v>
      </c>
    </row>
    <row r="158" spans="1:13">
      <c r="A158" s="69" t="s">
        <v>393</v>
      </c>
      <c r="B158" s="69" t="s">
        <v>1128</v>
      </c>
      <c r="C158" s="69" t="s">
        <v>1126</v>
      </c>
      <c r="D158" s="71" t="s">
        <v>1123</v>
      </c>
      <c r="E158" s="70">
        <v>105</v>
      </c>
      <c r="F158" s="70">
        <v>1099</v>
      </c>
      <c r="G158" s="66">
        <v>3130</v>
      </c>
      <c r="I158" s="71"/>
      <c r="M158" s="10">
        <v>2.1511</v>
      </c>
    </row>
    <row r="159" spans="1:13">
      <c r="A159" s="69" t="s">
        <v>393</v>
      </c>
      <c r="B159" s="69" t="s">
        <v>1127</v>
      </c>
      <c r="C159" s="69" t="s">
        <v>1126</v>
      </c>
      <c r="D159" s="90" t="s">
        <v>1123</v>
      </c>
      <c r="E159" s="70">
        <v>84</v>
      </c>
      <c r="F159" s="70">
        <v>721</v>
      </c>
      <c r="G159" s="66">
        <v>3230</v>
      </c>
      <c r="I159" s="90"/>
      <c r="M159" s="9">
        <v>2.1520000000000001</v>
      </c>
    </row>
    <row r="160" spans="1:13">
      <c r="A160" s="69" t="s">
        <v>393</v>
      </c>
      <c r="B160" s="69" t="s">
        <v>1125</v>
      </c>
      <c r="C160" s="69" t="s">
        <v>1124</v>
      </c>
      <c r="D160" s="71" t="s">
        <v>1123</v>
      </c>
      <c r="E160" s="70">
        <v>88</v>
      </c>
      <c r="F160" s="70">
        <v>755</v>
      </c>
      <c r="G160" s="66">
        <v>3230</v>
      </c>
      <c r="I160" s="71"/>
      <c r="M160" s="10">
        <v>2.1520999999999999</v>
      </c>
    </row>
    <row r="161" spans="1:14">
      <c r="A161" s="83" t="s">
        <v>383</v>
      </c>
      <c r="B161" s="83" t="s">
        <v>1122</v>
      </c>
      <c r="C161" s="83" t="s">
        <v>1121</v>
      </c>
      <c r="D161" s="71">
        <v>2.1330100000000001</v>
      </c>
      <c r="E161" s="70">
        <v>157</v>
      </c>
      <c r="F161" s="70">
        <v>1382</v>
      </c>
      <c r="G161" s="66">
        <v>3140</v>
      </c>
      <c r="I161" s="71">
        <v>2.1330100000000001</v>
      </c>
      <c r="J161" s="126">
        <f t="shared" ref="J161:J170" si="8">SUM(E161)/3.2808^2</f>
        <v>14.586132012573756</v>
      </c>
      <c r="K161" s="126">
        <f t="shared" ref="K161:K170" si="9">SUM(F161)/3.2808^3</f>
        <v>39.135309628879028</v>
      </c>
      <c r="M161" s="9">
        <v>2.153</v>
      </c>
    </row>
    <row r="162" spans="1:14">
      <c r="A162" s="83" t="s">
        <v>383</v>
      </c>
      <c r="B162" s="83" t="s">
        <v>1120</v>
      </c>
      <c r="C162" s="83" t="s">
        <v>1119</v>
      </c>
      <c r="D162" s="71">
        <v>2.1330200000000001</v>
      </c>
      <c r="E162" s="70">
        <v>94</v>
      </c>
      <c r="F162" s="70">
        <v>884</v>
      </c>
      <c r="G162" s="66">
        <v>3240</v>
      </c>
      <c r="I162" s="71">
        <v>2.1330200000000001</v>
      </c>
      <c r="J162" s="126">
        <f t="shared" si="8"/>
        <v>8.7330981476556246</v>
      </c>
      <c r="K162" s="126">
        <f t="shared" si="9"/>
        <v>25.033005580267048</v>
      </c>
      <c r="M162" s="10">
        <v>2.1532</v>
      </c>
    </row>
    <row r="163" spans="1:14">
      <c r="A163" s="69" t="s">
        <v>428</v>
      </c>
      <c r="B163" s="69" t="s">
        <v>1118</v>
      </c>
      <c r="C163" s="69" t="s">
        <v>1117</v>
      </c>
      <c r="D163" s="71" t="s">
        <v>1116</v>
      </c>
      <c r="E163" s="70">
        <v>12</v>
      </c>
      <c r="F163" s="70">
        <v>102</v>
      </c>
      <c r="G163" s="66">
        <v>4240</v>
      </c>
      <c r="I163" s="71" t="s">
        <v>1116</v>
      </c>
      <c r="J163" s="126">
        <f t="shared" si="8"/>
        <v>1.1148635933177393</v>
      </c>
      <c r="K163" s="126">
        <f t="shared" si="9"/>
        <v>2.8884237208000441</v>
      </c>
      <c r="M163" s="9">
        <v>2.1539999999999999</v>
      </c>
    </row>
    <row r="164" spans="1:14">
      <c r="A164" s="69" t="s">
        <v>443</v>
      </c>
      <c r="B164" s="69" t="s">
        <v>1115</v>
      </c>
      <c r="C164" s="69" t="s">
        <v>1114</v>
      </c>
      <c r="D164" s="71" t="s">
        <v>1113</v>
      </c>
      <c r="E164" s="70">
        <v>30</v>
      </c>
      <c r="F164" s="70">
        <v>245</v>
      </c>
      <c r="G164" s="66">
        <v>4220</v>
      </c>
      <c r="I164" s="71" t="s">
        <v>1113</v>
      </c>
      <c r="J164" s="126">
        <f t="shared" si="8"/>
        <v>2.7871589832943484</v>
      </c>
      <c r="K164" s="126">
        <f t="shared" si="9"/>
        <v>6.9378805058432427</v>
      </c>
      <c r="M164" s="8">
        <v>2.16</v>
      </c>
    </row>
    <row r="165" spans="1:14">
      <c r="A165" s="83" t="s">
        <v>383</v>
      </c>
      <c r="B165" s="83" t="s">
        <v>1112</v>
      </c>
      <c r="C165" s="83" t="s">
        <v>1111</v>
      </c>
      <c r="D165" s="71">
        <v>2.153009</v>
      </c>
      <c r="E165" s="70">
        <v>157</v>
      </c>
      <c r="F165" s="70">
        <v>1382</v>
      </c>
      <c r="G165" s="66">
        <v>3140</v>
      </c>
      <c r="I165" s="71">
        <v>2.153009</v>
      </c>
      <c r="J165" s="126">
        <f t="shared" si="8"/>
        <v>14.586132012573756</v>
      </c>
      <c r="K165" s="126">
        <f t="shared" si="9"/>
        <v>39.135309628879028</v>
      </c>
      <c r="M165" s="9">
        <v>2.1619999999999999</v>
      </c>
    </row>
    <row r="166" spans="1:14">
      <c r="A166" s="69" t="s">
        <v>451</v>
      </c>
      <c r="B166" s="69" t="s">
        <v>1110</v>
      </c>
      <c r="C166" s="69" t="s">
        <v>1109</v>
      </c>
      <c r="D166" s="71" t="s">
        <v>1108</v>
      </c>
      <c r="E166" s="70">
        <v>58</v>
      </c>
      <c r="F166" s="70">
        <v>401</v>
      </c>
      <c r="G166" s="66">
        <v>3420</v>
      </c>
      <c r="I166" s="71" t="s">
        <v>1108</v>
      </c>
      <c r="J166" s="126">
        <f t="shared" si="8"/>
        <v>5.3885073677024069</v>
      </c>
      <c r="K166" s="126">
        <f t="shared" si="9"/>
        <v>11.355469725890369</v>
      </c>
      <c r="M166" s="7">
        <v>2.2000000000000002</v>
      </c>
    </row>
    <row r="167" spans="1:14">
      <c r="A167" s="69" t="s">
        <v>374</v>
      </c>
      <c r="B167" s="69" t="s">
        <v>1107</v>
      </c>
      <c r="C167" s="69" t="s">
        <v>1106</v>
      </c>
      <c r="D167" s="71" t="s">
        <v>1105</v>
      </c>
      <c r="E167" s="70">
        <v>258</v>
      </c>
      <c r="F167" s="70">
        <v>2550</v>
      </c>
      <c r="G167" s="66">
        <v>4710</v>
      </c>
      <c r="I167" s="71" t="s">
        <v>1105</v>
      </c>
      <c r="J167" s="126">
        <f t="shared" si="8"/>
        <v>23.969567256331395</v>
      </c>
      <c r="K167" s="126">
        <f t="shared" si="9"/>
        <v>72.210593020001099</v>
      </c>
      <c r="M167" s="8">
        <v>2.21</v>
      </c>
    </row>
    <row r="168" spans="1:14">
      <c r="A168" s="69" t="s">
        <v>443</v>
      </c>
      <c r="B168" s="69" t="s">
        <v>1104</v>
      </c>
      <c r="C168" s="69" t="s">
        <v>1103</v>
      </c>
      <c r="D168" s="71" t="s">
        <v>1102</v>
      </c>
      <c r="E168" s="70">
        <v>500</v>
      </c>
      <c r="F168" s="70">
        <v>3834</v>
      </c>
      <c r="G168" s="66">
        <v>4220</v>
      </c>
      <c r="I168" s="71" t="s">
        <v>1102</v>
      </c>
      <c r="J168" s="126">
        <f t="shared" si="8"/>
        <v>46.452649721572477</v>
      </c>
      <c r="K168" s="126">
        <f t="shared" si="9"/>
        <v>108.57075044654283</v>
      </c>
      <c r="M168" s="9">
        <v>2.2109999999999999</v>
      </c>
    </row>
    <row r="169" spans="1:14">
      <c r="A169" s="81" t="s">
        <v>397</v>
      </c>
      <c r="B169" s="81" t="s">
        <v>1101</v>
      </c>
      <c r="C169" s="81" t="s">
        <v>1100</v>
      </c>
      <c r="D169" s="80" t="s">
        <v>1099</v>
      </c>
      <c r="E169" s="79">
        <v>459</v>
      </c>
      <c r="F169" s="79">
        <v>4284</v>
      </c>
      <c r="G169" s="78">
        <v>2250</v>
      </c>
      <c r="I169" s="80" t="s">
        <v>1099</v>
      </c>
      <c r="J169" s="126">
        <f t="shared" si="8"/>
        <v>42.643532444403533</v>
      </c>
      <c r="K169" s="126">
        <f t="shared" si="9"/>
        <v>121.31379627360185</v>
      </c>
      <c r="M169" s="10">
        <v>2.2111000000000001</v>
      </c>
    </row>
    <row r="170" spans="1:14">
      <c r="A170" s="69" t="s">
        <v>397</v>
      </c>
      <c r="B170" s="69" t="s">
        <v>1098</v>
      </c>
      <c r="C170" s="69" t="s">
        <v>1097</v>
      </c>
      <c r="D170" s="71" t="s">
        <v>1096</v>
      </c>
      <c r="E170" s="70">
        <v>1127</v>
      </c>
      <c r="F170" s="70">
        <v>11388</v>
      </c>
      <c r="G170" s="66">
        <v>2350</v>
      </c>
      <c r="I170" s="71" t="s">
        <v>1096</v>
      </c>
      <c r="J170" s="126">
        <f t="shared" si="8"/>
        <v>104.70427247242435</v>
      </c>
      <c r="K170" s="126">
        <f t="shared" si="9"/>
        <v>322.48401306344022</v>
      </c>
      <c r="M170" s="9">
        <v>2.2120000000000002</v>
      </c>
    </row>
    <row r="171" spans="1:14">
      <c r="A171" s="77"/>
      <c r="B171" s="77"/>
      <c r="C171" s="77"/>
      <c r="D171" s="93" t="s">
        <v>370</v>
      </c>
      <c r="E171" s="92">
        <f>SUM(E112:E170)</f>
        <v>12071</v>
      </c>
      <c r="F171" s="92">
        <f>SUM(F112:F170)</f>
        <v>110031</v>
      </c>
      <c r="G171" s="74"/>
      <c r="M171" s="10">
        <v>2.2121</v>
      </c>
    </row>
    <row r="172" spans="1:14">
      <c r="A172" s="77"/>
      <c r="B172" s="77"/>
      <c r="C172" s="77"/>
      <c r="D172" s="76"/>
      <c r="E172" s="75"/>
      <c r="F172" s="75"/>
      <c r="G172" s="74"/>
      <c r="M172" s="9">
        <v>2.2130000000000001</v>
      </c>
    </row>
    <row r="173" spans="1:14">
      <c r="A173" s="91" t="s">
        <v>1095</v>
      </c>
      <c r="B173" s="77"/>
      <c r="C173" s="77"/>
      <c r="D173" s="76"/>
      <c r="E173" s="75"/>
      <c r="F173" s="75"/>
      <c r="G173" s="74"/>
      <c r="M173" s="10">
        <v>2.2130999999999998</v>
      </c>
    </row>
    <row r="174" spans="1:14">
      <c r="A174" s="77" t="s">
        <v>443</v>
      </c>
      <c r="B174" s="77" t="s">
        <v>1094</v>
      </c>
      <c r="C174" s="77" t="s">
        <v>1093</v>
      </c>
      <c r="D174" s="76" t="s">
        <v>1092</v>
      </c>
      <c r="E174" s="75">
        <v>221</v>
      </c>
      <c r="F174" s="75">
        <v>1713</v>
      </c>
      <c r="G174" s="74">
        <v>4220</v>
      </c>
      <c r="M174" s="10">
        <v>2.2132999999999998</v>
      </c>
    </row>
    <row r="175" spans="1:14">
      <c r="A175" s="69" t="s">
        <v>397</v>
      </c>
      <c r="B175" s="69" t="s">
        <v>1091</v>
      </c>
      <c r="C175" s="69" t="s">
        <v>1090</v>
      </c>
      <c r="D175" s="71" t="s">
        <v>1089</v>
      </c>
      <c r="E175" s="70">
        <v>732</v>
      </c>
      <c r="F175" s="70">
        <v>6767</v>
      </c>
      <c r="G175" s="66">
        <v>2250</v>
      </c>
      <c r="M175" s="9">
        <v>2.214</v>
      </c>
    </row>
    <row r="176" spans="1:14" s="53" customFormat="1">
      <c r="A176" s="69" t="s">
        <v>397</v>
      </c>
      <c r="B176" s="69" t="s">
        <v>1088</v>
      </c>
      <c r="C176" s="69" t="s">
        <v>1087</v>
      </c>
      <c r="D176" s="71" t="s">
        <v>1086</v>
      </c>
      <c r="E176" s="70">
        <v>152</v>
      </c>
      <c r="F176" s="70">
        <v>1418</v>
      </c>
      <c r="G176" s="66">
        <v>2350</v>
      </c>
      <c r="M176" s="10">
        <v>2.2141000000000002</v>
      </c>
      <c r="N176" s="52"/>
    </row>
    <row r="177" spans="1:14" s="53" customFormat="1">
      <c r="A177" s="69" t="s">
        <v>383</v>
      </c>
      <c r="B177" s="69" t="s">
        <v>1085</v>
      </c>
      <c r="C177" s="69" t="s">
        <v>1084</v>
      </c>
      <c r="D177" s="71" t="s">
        <v>1083</v>
      </c>
      <c r="E177" s="70">
        <v>261</v>
      </c>
      <c r="F177" s="70">
        <v>2531</v>
      </c>
      <c r="G177" s="66">
        <v>2340</v>
      </c>
      <c r="M177" s="9">
        <v>2.2149999999999999</v>
      </c>
      <c r="N177" s="52"/>
    </row>
    <row r="178" spans="1:14" s="53" customFormat="1">
      <c r="A178" s="69" t="s">
        <v>383</v>
      </c>
      <c r="B178" s="69" t="s">
        <v>1082</v>
      </c>
      <c r="C178" s="69" t="s">
        <v>1081</v>
      </c>
      <c r="D178" s="71" t="s">
        <v>1080</v>
      </c>
      <c r="E178" s="70">
        <v>294</v>
      </c>
      <c r="F178" s="70">
        <v>2846</v>
      </c>
      <c r="G178" s="66">
        <v>2340</v>
      </c>
      <c r="M178" s="8">
        <v>2.2200000000000002</v>
      </c>
      <c r="N178" s="52"/>
    </row>
    <row r="179" spans="1:14">
      <c r="A179" s="69" t="s">
        <v>383</v>
      </c>
      <c r="B179" s="69" t="s">
        <v>1079</v>
      </c>
      <c r="C179" s="69" t="s">
        <v>1078</v>
      </c>
      <c r="D179" s="71" t="s">
        <v>1077</v>
      </c>
      <c r="E179" s="70">
        <v>498</v>
      </c>
      <c r="F179" s="70">
        <v>4729</v>
      </c>
      <c r="G179" s="66">
        <v>2340</v>
      </c>
      <c r="M179" s="9">
        <v>2.2210000000000001</v>
      </c>
    </row>
    <row r="180" spans="1:14" s="53" customFormat="1">
      <c r="A180" s="81" t="s">
        <v>374</v>
      </c>
      <c r="B180" s="81" t="s">
        <v>1076</v>
      </c>
      <c r="C180" s="81" t="s">
        <v>1012</v>
      </c>
      <c r="D180" s="80">
        <v>2.2600099999999999</v>
      </c>
      <c r="E180" s="79">
        <v>12</v>
      </c>
      <c r="F180" s="79">
        <v>110</v>
      </c>
      <c r="G180" s="78">
        <v>4710</v>
      </c>
      <c r="M180" s="9">
        <v>2.222</v>
      </c>
      <c r="N180" s="52"/>
    </row>
    <row r="181" spans="1:14" s="53" customFormat="1">
      <c r="A181" s="81"/>
      <c r="B181" s="81"/>
      <c r="C181" s="81"/>
      <c r="D181" s="89" t="s">
        <v>370</v>
      </c>
      <c r="E181" s="88">
        <f>SUM(E174:E180)</f>
        <v>2170</v>
      </c>
      <c r="F181" s="88">
        <f>SUM(F174:F180)</f>
        <v>20114</v>
      </c>
      <c r="G181" s="78"/>
      <c r="M181" s="10">
        <v>2.2221000000000002</v>
      </c>
      <c r="N181" s="52"/>
    </row>
    <row r="182" spans="1:14" s="53" customFormat="1">
      <c r="A182" s="81"/>
      <c r="B182" s="81"/>
      <c r="C182" s="81"/>
      <c r="D182" s="80"/>
      <c r="E182" s="79"/>
      <c r="F182" s="79"/>
      <c r="G182" s="78"/>
      <c r="M182" s="10">
        <v>2.2222</v>
      </c>
      <c r="N182" s="52"/>
    </row>
    <row r="183" spans="1:14" s="53" customFormat="1">
      <c r="A183" s="87" t="s">
        <v>1075</v>
      </c>
      <c r="B183" s="81"/>
      <c r="C183" s="81"/>
      <c r="D183" s="80"/>
      <c r="E183" s="79"/>
      <c r="F183" s="79"/>
      <c r="G183" s="78"/>
      <c r="M183" s="10">
        <v>2.2223000000000002</v>
      </c>
      <c r="N183" s="52"/>
    </row>
    <row r="184" spans="1:14" s="53" customFormat="1">
      <c r="A184" s="69" t="s">
        <v>397</v>
      </c>
      <c r="B184" s="69" t="s">
        <v>1074</v>
      </c>
      <c r="C184" s="69" t="s">
        <v>1073</v>
      </c>
      <c r="D184" s="71" t="s">
        <v>1072</v>
      </c>
      <c r="E184" s="70">
        <v>180</v>
      </c>
      <c r="F184" s="70">
        <v>1647</v>
      </c>
      <c r="G184" s="66">
        <v>2350</v>
      </c>
      <c r="M184" s="10">
        <v>2.2223999999999999</v>
      </c>
      <c r="N184" s="52"/>
    </row>
    <row r="185" spans="1:14" s="53" customFormat="1">
      <c r="A185" s="77" t="s">
        <v>397</v>
      </c>
      <c r="B185" s="77" t="s">
        <v>1071</v>
      </c>
      <c r="C185" s="77" t="s">
        <v>1070</v>
      </c>
      <c r="D185" s="76" t="s">
        <v>1069</v>
      </c>
      <c r="E185" s="75">
        <v>73</v>
      </c>
      <c r="F185" s="75">
        <v>672</v>
      </c>
      <c r="G185" s="74">
        <v>2350</v>
      </c>
      <c r="M185" s="9">
        <v>2.2229999999999999</v>
      </c>
      <c r="N185" s="52"/>
    </row>
    <row r="186" spans="1:14">
      <c r="A186" s="69" t="s">
        <v>397</v>
      </c>
      <c r="B186" s="69" t="s">
        <v>1068</v>
      </c>
      <c r="C186" s="69" t="s">
        <v>1067</v>
      </c>
      <c r="D186" s="71" t="s">
        <v>1066</v>
      </c>
      <c r="E186" s="70">
        <v>37</v>
      </c>
      <c r="F186" s="70">
        <v>347</v>
      </c>
      <c r="G186" s="66">
        <v>2350</v>
      </c>
      <c r="M186" s="10">
        <v>2.2233000000000001</v>
      </c>
    </row>
    <row r="187" spans="1:14">
      <c r="A187" s="69" t="s">
        <v>383</v>
      </c>
      <c r="B187" s="69" t="s">
        <v>1065</v>
      </c>
      <c r="C187" s="69" t="s">
        <v>1064</v>
      </c>
      <c r="D187" s="71" t="s">
        <v>1061</v>
      </c>
      <c r="E187" s="70">
        <v>79</v>
      </c>
      <c r="F187" s="70">
        <v>818</v>
      </c>
      <c r="G187" s="66">
        <v>3440</v>
      </c>
      <c r="M187" s="9">
        <v>2.2240000000000002</v>
      </c>
    </row>
    <row r="188" spans="1:14">
      <c r="A188" s="69" t="s">
        <v>397</v>
      </c>
      <c r="B188" s="69" t="s">
        <v>1063</v>
      </c>
      <c r="C188" s="69" t="s">
        <v>1062</v>
      </c>
      <c r="D188" s="71" t="s">
        <v>1061</v>
      </c>
      <c r="E188" s="70">
        <v>78</v>
      </c>
      <c r="F188" s="70">
        <v>818</v>
      </c>
      <c r="G188" s="66">
        <v>1350</v>
      </c>
      <c r="M188" s="10">
        <v>2.2242999999999999</v>
      </c>
    </row>
    <row r="189" spans="1:14">
      <c r="A189" s="69" t="s">
        <v>374</v>
      </c>
      <c r="B189" s="69" t="s">
        <v>1060</v>
      </c>
      <c r="C189" s="69" t="s">
        <v>1059</v>
      </c>
      <c r="D189" s="71" t="s">
        <v>1054</v>
      </c>
      <c r="E189" s="70">
        <v>9</v>
      </c>
      <c r="F189" s="70">
        <v>76</v>
      </c>
      <c r="G189" s="66">
        <v>4110</v>
      </c>
      <c r="M189" s="9">
        <v>2.2250000000000001</v>
      </c>
    </row>
    <row r="190" spans="1:14">
      <c r="A190" s="69" t="s">
        <v>397</v>
      </c>
      <c r="B190" s="69" t="s">
        <v>1058</v>
      </c>
      <c r="C190" s="69" t="s">
        <v>1057</v>
      </c>
      <c r="D190" s="71" t="s">
        <v>1054</v>
      </c>
      <c r="E190" s="70">
        <v>26</v>
      </c>
      <c r="F190" s="70">
        <v>210</v>
      </c>
      <c r="G190" s="66">
        <v>1350</v>
      </c>
      <c r="M190" s="9">
        <v>2.226</v>
      </c>
    </row>
    <row r="191" spans="1:14">
      <c r="A191" s="69" t="s">
        <v>383</v>
      </c>
      <c r="B191" s="69" t="s">
        <v>1056</v>
      </c>
      <c r="C191" s="69" t="s">
        <v>1055</v>
      </c>
      <c r="D191" s="71" t="s">
        <v>1054</v>
      </c>
      <c r="E191" s="70">
        <v>38</v>
      </c>
      <c r="F191" s="70">
        <v>400</v>
      </c>
      <c r="G191" s="66">
        <v>3440</v>
      </c>
      <c r="M191" s="8">
        <v>2.23</v>
      </c>
    </row>
    <row r="192" spans="1:14">
      <c r="A192" s="69"/>
      <c r="B192" s="69"/>
      <c r="C192" s="69"/>
      <c r="D192" s="68" t="s">
        <v>370</v>
      </c>
      <c r="E192" s="67">
        <f>SUM(E184:E191)</f>
        <v>520</v>
      </c>
      <c r="F192" s="67">
        <f>SUM(F184:F191)</f>
        <v>4988</v>
      </c>
      <c r="G192" s="66"/>
      <c r="M192" s="9">
        <v>2.2309999999999999</v>
      </c>
    </row>
    <row r="193" spans="1:14">
      <c r="A193" s="69"/>
      <c r="B193" s="69"/>
      <c r="C193" s="69"/>
      <c r="D193" s="71"/>
      <c r="E193" s="70"/>
      <c r="F193" s="70"/>
      <c r="G193" s="66"/>
      <c r="M193" s="9">
        <v>2.2320000000000002</v>
      </c>
    </row>
    <row r="194" spans="1:14">
      <c r="A194" s="82" t="s">
        <v>1053</v>
      </c>
      <c r="B194" s="69"/>
      <c r="C194" s="69"/>
      <c r="D194" s="71"/>
      <c r="E194" s="70"/>
      <c r="F194" s="70"/>
      <c r="G194" s="66"/>
      <c r="M194" s="9">
        <v>2.2330000000000001</v>
      </c>
    </row>
    <row r="195" spans="1:14">
      <c r="A195" s="83" t="s">
        <v>397</v>
      </c>
      <c r="B195" s="83" t="s">
        <v>1052</v>
      </c>
      <c r="C195" s="83" t="s">
        <v>1051</v>
      </c>
      <c r="D195" s="71">
        <v>2.4100100000000002</v>
      </c>
      <c r="E195" s="70">
        <v>115</v>
      </c>
      <c r="F195" s="70">
        <v>1290</v>
      </c>
      <c r="G195" s="66">
        <v>1450</v>
      </c>
      <c r="M195" s="9">
        <v>2.234</v>
      </c>
    </row>
    <row r="196" spans="1:14">
      <c r="A196" s="69" t="s">
        <v>535</v>
      </c>
      <c r="B196" s="69" t="s">
        <v>1050</v>
      </c>
      <c r="C196" s="69" t="s">
        <v>1049</v>
      </c>
      <c r="D196" s="71" t="s">
        <v>1048</v>
      </c>
      <c r="E196" s="70">
        <v>363</v>
      </c>
      <c r="F196" s="70">
        <v>3442</v>
      </c>
      <c r="G196" s="66">
        <v>1260</v>
      </c>
      <c r="M196" s="10">
        <v>2.2341000000000002</v>
      </c>
    </row>
    <row r="197" spans="1:14">
      <c r="A197" s="69" t="s">
        <v>397</v>
      </c>
      <c r="B197" s="69" t="s">
        <v>1047</v>
      </c>
      <c r="C197" s="69" t="s">
        <v>1046</v>
      </c>
      <c r="D197" s="71" t="s">
        <v>1045</v>
      </c>
      <c r="E197" s="70">
        <v>135</v>
      </c>
      <c r="F197" s="70">
        <v>1242</v>
      </c>
      <c r="G197" s="66">
        <v>1350</v>
      </c>
      <c r="M197" s="7">
        <v>2.2999999999999998</v>
      </c>
    </row>
    <row r="198" spans="1:14" s="54" customFormat="1">
      <c r="A198" s="69" t="s">
        <v>383</v>
      </c>
      <c r="B198" s="69" t="s">
        <v>1044</v>
      </c>
      <c r="C198" s="69" t="s">
        <v>1043</v>
      </c>
      <c r="D198" s="71" t="s">
        <v>1042</v>
      </c>
      <c r="E198" s="70">
        <v>517</v>
      </c>
      <c r="F198" s="70">
        <v>4741</v>
      </c>
      <c r="G198" s="66">
        <v>3440</v>
      </c>
      <c r="M198" s="8">
        <v>2.31</v>
      </c>
      <c r="N198" s="52"/>
    </row>
    <row r="199" spans="1:14" s="54" customFormat="1">
      <c r="A199" s="69" t="s">
        <v>383</v>
      </c>
      <c r="B199" s="69" t="s">
        <v>1041</v>
      </c>
      <c r="C199" s="69" t="s">
        <v>1040</v>
      </c>
      <c r="D199" s="71" t="s">
        <v>1039</v>
      </c>
      <c r="E199" s="70">
        <v>73</v>
      </c>
      <c r="F199" s="70">
        <v>669</v>
      </c>
      <c r="G199" s="66">
        <v>3440</v>
      </c>
      <c r="M199" s="9">
        <v>2.3170000000000002</v>
      </c>
      <c r="N199" s="52"/>
    </row>
    <row r="200" spans="1:14" s="54" customFormat="1">
      <c r="A200" s="69" t="s">
        <v>393</v>
      </c>
      <c r="B200" s="69" t="s">
        <v>1038</v>
      </c>
      <c r="C200" s="69" t="s">
        <v>1037</v>
      </c>
      <c r="D200" s="71" t="s">
        <v>1036</v>
      </c>
      <c r="E200" s="70">
        <v>58</v>
      </c>
      <c r="F200" s="70">
        <v>498</v>
      </c>
      <c r="G200" s="66">
        <v>3250</v>
      </c>
      <c r="M200" s="10">
        <v>2.3100999999999998</v>
      </c>
      <c r="N200" s="52"/>
    </row>
    <row r="201" spans="1:14" s="54" customFormat="1">
      <c r="A201" s="69" t="s">
        <v>397</v>
      </c>
      <c r="B201" s="69" t="s">
        <v>1035</v>
      </c>
      <c r="C201" s="69" t="s">
        <v>1034</v>
      </c>
      <c r="D201" s="71" t="s">
        <v>1033</v>
      </c>
      <c r="E201" s="70">
        <v>95</v>
      </c>
      <c r="F201" s="70">
        <v>860</v>
      </c>
      <c r="G201" s="66">
        <v>2450</v>
      </c>
      <c r="M201" s="11">
        <v>2.3101099999999999</v>
      </c>
      <c r="N201" s="52"/>
    </row>
    <row r="202" spans="1:14" s="54" customFormat="1">
      <c r="A202" s="69"/>
      <c r="B202" s="69"/>
      <c r="C202" s="69"/>
      <c r="D202" s="68" t="s">
        <v>370</v>
      </c>
      <c r="E202" s="67">
        <f>SUM(E195:E201)</f>
        <v>1356</v>
      </c>
      <c r="F202" s="67">
        <f>SUM(F195:F201)</f>
        <v>12742</v>
      </c>
      <c r="G202" s="66"/>
      <c r="M202" s="11">
        <v>2.31012</v>
      </c>
      <c r="N202" s="52"/>
    </row>
    <row r="203" spans="1:14" s="54" customFormat="1">
      <c r="A203" s="69"/>
      <c r="B203" s="69"/>
      <c r="C203" s="69"/>
      <c r="D203" s="71"/>
      <c r="E203" s="70"/>
      <c r="F203" s="70"/>
      <c r="G203" s="66"/>
      <c r="M203" s="11">
        <v>2.3102299999999998</v>
      </c>
      <c r="N203" s="52"/>
    </row>
    <row r="204" spans="1:14" s="54" customFormat="1">
      <c r="A204" s="82" t="s">
        <v>1032</v>
      </c>
      <c r="B204" s="69"/>
      <c r="C204" s="69"/>
      <c r="D204" s="71"/>
      <c r="E204" s="70"/>
      <c r="F204" s="70"/>
      <c r="G204" s="66"/>
      <c r="M204" s="11">
        <v>2.3102399999999998</v>
      </c>
      <c r="N204" s="52"/>
    </row>
    <row r="205" spans="1:14">
      <c r="A205" s="69" t="s">
        <v>443</v>
      </c>
      <c r="B205" s="69" t="s">
        <v>1031</v>
      </c>
      <c r="C205" s="69" t="s">
        <v>1030</v>
      </c>
      <c r="D205" s="71" t="s">
        <v>1029</v>
      </c>
      <c r="E205" s="70">
        <v>50</v>
      </c>
      <c r="F205" s="70">
        <v>359</v>
      </c>
      <c r="G205" s="66">
        <v>4220</v>
      </c>
      <c r="M205" s="11">
        <v>2.3102499999999999</v>
      </c>
    </row>
    <row r="206" spans="1:14">
      <c r="A206" s="69" t="s">
        <v>393</v>
      </c>
      <c r="B206" s="69" t="s">
        <v>1028</v>
      </c>
      <c r="C206" s="69" t="s">
        <v>1027</v>
      </c>
      <c r="D206" s="71" t="s">
        <v>1026</v>
      </c>
      <c r="E206" s="70">
        <v>85</v>
      </c>
      <c r="F206" s="70">
        <v>1144</v>
      </c>
      <c r="G206" s="66">
        <v>1430</v>
      </c>
      <c r="M206" s="11">
        <v>2.31027</v>
      </c>
    </row>
    <row r="207" spans="1:14">
      <c r="A207" s="69" t="s">
        <v>397</v>
      </c>
      <c r="B207" s="69" t="s">
        <v>1025</v>
      </c>
      <c r="C207" s="69" t="s">
        <v>1024</v>
      </c>
      <c r="D207" s="71">
        <v>2.5100300299999998</v>
      </c>
      <c r="E207" s="70">
        <v>115</v>
      </c>
      <c r="F207" s="70">
        <v>1073</v>
      </c>
      <c r="G207" s="66">
        <v>2250</v>
      </c>
      <c r="M207" s="8">
        <v>2.33</v>
      </c>
    </row>
    <row r="208" spans="1:14">
      <c r="A208" s="69" t="s">
        <v>393</v>
      </c>
      <c r="B208" s="69" t="s">
        <v>1023</v>
      </c>
      <c r="C208" s="69" t="s">
        <v>1022</v>
      </c>
      <c r="D208" s="71" t="s">
        <v>1021</v>
      </c>
      <c r="E208" s="70">
        <v>90</v>
      </c>
      <c r="F208" s="70">
        <v>773</v>
      </c>
      <c r="G208" s="66">
        <v>3230</v>
      </c>
      <c r="M208" s="9">
        <v>2.331</v>
      </c>
    </row>
    <row r="209" spans="1:13">
      <c r="A209" s="69" t="s">
        <v>443</v>
      </c>
      <c r="B209" s="69" t="s">
        <v>1020</v>
      </c>
      <c r="C209" s="69" t="s">
        <v>1019</v>
      </c>
      <c r="D209" s="71" t="s">
        <v>1018</v>
      </c>
      <c r="E209" s="70">
        <v>12</v>
      </c>
      <c r="F209" s="70">
        <v>98</v>
      </c>
      <c r="G209" s="66">
        <v>4220</v>
      </c>
      <c r="M209" s="9">
        <v>2.3319999999999999</v>
      </c>
    </row>
    <row r="210" spans="1:13">
      <c r="A210" s="69" t="s">
        <v>428</v>
      </c>
      <c r="B210" s="69" t="s">
        <v>1017</v>
      </c>
      <c r="C210" s="69" t="s">
        <v>1015</v>
      </c>
      <c r="D210" s="71" t="s">
        <v>1014</v>
      </c>
      <c r="E210" s="70">
        <v>30</v>
      </c>
      <c r="F210" s="70">
        <v>255</v>
      </c>
      <c r="G210" s="66">
        <v>4240</v>
      </c>
      <c r="M210" s="10">
        <v>2.3321000000000001</v>
      </c>
    </row>
    <row r="211" spans="1:13">
      <c r="A211" s="69" t="s">
        <v>428</v>
      </c>
      <c r="B211" s="69" t="s">
        <v>1016</v>
      </c>
      <c r="C211" s="69" t="s">
        <v>1015</v>
      </c>
      <c r="D211" s="71" t="s">
        <v>1014</v>
      </c>
      <c r="E211" s="70">
        <v>48</v>
      </c>
      <c r="F211" s="70">
        <v>408</v>
      </c>
      <c r="G211" s="66">
        <v>4240</v>
      </c>
      <c r="M211" s="10">
        <v>2.3323</v>
      </c>
    </row>
    <row r="212" spans="1:13">
      <c r="A212" s="69" t="s">
        <v>443</v>
      </c>
      <c r="B212" s="69" t="s">
        <v>1013</v>
      </c>
      <c r="C212" s="69" t="s">
        <v>1012</v>
      </c>
      <c r="D212" s="71" t="s">
        <v>1011</v>
      </c>
      <c r="E212" s="70">
        <v>12</v>
      </c>
      <c r="F212" s="70">
        <v>98</v>
      </c>
      <c r="G212" s="66">
        <v>4220</v>
      </c>
      <c r="M212" s="8">
        <v>2.34</v>
      </c>
    </row>
    <row r="213" spans="1:13">
      <c r="A213" s="69"/>
      <c r="B213" s="69"/>
      <c r="C213" s="69"/>
      <c r="D213" s="68" t="s">
        <v>370</v>
      </c>
      <c r="E213" s="67">
        <f>SUM(E205:E212)</f>
        <v>442</v>
      </c>
      <c r="F213" s="67">
        <f>SUM(F205:F212)</f>
        <v>4208</v>
      </c>
      <c r="G213" s="66"/>
      <c r="M213" s="9">
        <v>2.3410000000000002</v>
      </c>
    </row>
    <row r="214" spans="1:13">
      <c r="A214" s="69"/>
      <c r="B214" s="69"/>
      <c r="C214" s="69"/>
      <c r="D214" s="71"/>
      <c r="E214" s="70"/>
      <c r="F214" s="70"/>
      <c r="G214" s="66"/>
      <c r="M214" s="10">
        <v>2.3411</v>
      </c>
    </row>
    <row r="215" spans="1:13">
      <c r="A215" s="82" t="s">
        <v>1010</v>
      </c>
      <c r="B215" s="69"/>
      <c r="C215" s="69"/>
      <c r="D215" s="71"/>
      <c r="E215" s="70"/>
      <c r="F215" s="70"/>
      <c r="G215" s="66"/>
      <c r="M215" s="10">
        <v>2.3414000000000001</v>
      </c>
    </row>
    <row r="216" spans="1:13">
      <c r="A216" s="69" t="s">
        <v>374</v>
      </c>
      <c r="B216" s="69" t="s">
        <v>1009</v>
      </c>
      <c r="C216" s="69" t="s">
        <v>1008</v>
      </c>
      <c r="D216" s="71" t="s">
        <v>1007</v>
      </c>
      <c r="E216" s="70">
        <v>48</v>
      </c>
      <c r="F216" s="70">
        <v>408</v>
      </c>
      <c r="G216" s="66">
        <v>4110</v>
      </c>
      <c r="M216" s="9">
        <v>2.3420000000000001</v>
      </c>
    </row>
    <row r="217" spans="1:13">
      <c r="A217" s="69" t="s">
        <v>397</v>
      </c>
      <c r="B217" s="69" t="s">
        <v>1006</v>
      </c>
      <c r="C217" s="69" t="s">
        <v>1005</v>
      </c>
      <c r="D217" s="71" t="s">
        <v>1004</v>
      </c>
      <c r="E217" s="70">
        <v>51</v>
      </c>
      <c r="F217" s="70">
        <v>466</v>
      </c>
      <c r="G217" s="66">
        <v>3150</v>
      </c>
      <c r="M217" s="8">
        <v>2.35</v>
      </c>
    </row>
    <row r="218" spans="1:13">
      <c r="A218" s="69" t="s">
        <v>374</v>
      </c>
      <c r="B218" s="69" t="s">
        <v>1003</v>
      </c>
      <c r="C218" s="69" t="s">
        <v>1002</v>
      </c>
      <c r="D218" s="71" t="s">
        <v>999</v>
      </c>
      <c r="E218" s="70">
        <v>63</v>
      </c>
      <c r="F218" s="70">
        <v>357</v>
      </c>
      <c r="G218" s="66">
        <v>4110</v>
      </c>
      <c r="M218" s="9">
        <v>2.3519999999999999</v>
      </c>
    </row>
    <row r="219" spans="1:13">
      <c r="A219" s="69" t="s">
        <v>397</v>
      </c>
      <c r="B219" s="69" t="s">
        <v>1001</v>
      </c>
      <c r="C219" s="69" t="s">
        <v>1000</v>
      </c>
      <c r="D219" s="71" t="s">
        <v>999</v>
      </c>
      <c r="E219" s="70">
        <v>19</v>
      </c>
      <c r="F219" s="70">
        <v>170</v>
      </c>
      <c r="G219" s="66">
        <v>3150</v>
      </c>
      <c r="M219" s="7">
        <v>2.4</v>
      </c>
    </row>
    <row r="220" spans="1:13">
      <c r="A220" s="69" t="s">
        <v>374</v>
      </c>
      <c r="B220" s="69" t="s">
        <v>998</v>
      </c>
      <c r="C220" s="69" t="s">
        <v>997</v>
      </c>
      <c r="D220" s="71" t="s">
        <v>994</v>
      </c>
      <c r="E220" s="70">
        <v>18</v>
      </c>
      <c r="F220" s="70">
        <v>141</v>
      </c>
      <c r="G220" s="66">
        <v>4110</v>
      </c>
      <c r="M220" s="8">
        <v>2.41</v>
      </c>
    </row>
    <row r="221" spans="1:13">
      <c r="A221" s="69" t="s">
        <v>397</v>
      </c>
      <c r="B221" s="69" t="s">
        <v>996</v>
      </c>
      <c r="C221" s="69" t="s">
        <v>995</v>
      </c>
      <c r="D221" s="71" t="s">
        <v>994</v>
      </c>
      <c r="E221" s="70">
        <v>14</v>
      </c>
      <c r="F221" s="70">
        <v>130</v>
      </c>
      <c r="G221" s="66">
        <v>3150</v>
      </c>
      <c r="M221" s="9">
        <v>2.411</v>
      </c>
    </row>
    <row r="222" spans="1:13">
      <c r="A222" s="69" t="s">
        <v>374</v>
      </c>
      <c r="B222" s="69" t="s">
        <v>993</v>
      </c>
      <c r="C222" s="69" t="s">
        <v>992</v>
      </c>
      <c r="D222" s="71" t="s">
        <v>989</v>
      </c>
      <c r="E222" s="70">
        <v>18</v>
      </c>
      <c r="F222" s="70">
        <v>141</v>
      </c>
      <c r="G222" s="66">
        <v>4110</v>
      </c>
      <c r="M222" s="9">
        <v>2.415</v>
      </c>
    </row>
    <row r="223" spans="1:13">
      <c r="A223" s="69" t="s">
        <v>397</v>
      </c>
      <c r="B223" s="69" t="s">
        <v>991</v>
      </c>
      <c r="C223" s="69" t="s">
        <v>990</v>
      </c>
      <c r="D223" s="71" t="s">
        <v>989</v>
      </c>
      <c r="E223" s="70">
        <v>18</v>
      </c>
      <c r="F223" s="70">
        <v>167</v>
      </c>
      <c r="G223" s="66">
        <v>3150</v>
      </c>
      <c r="M223" s="9">
        <v>2.4159999999999999</v>
      </c>
    </row>
    <row r="224" spans="1:13">
      <c r="A224" s="69" t="s">
        <v>451</v>
      </c>
      <c r="B224" s="69" t="s">
        <v>988</v>
      </c>
      <c r="C224" s="69" t="s">
        <v>987</v>
      </c>
      <c r="D224" s="71" t="s">
        <v>986</v>
      </c>
      <c r="E224" s="70">
        <v>510</v>
      </c>
      <c r="F224" s="70">
        <v>3644</v>
      </c>
      <c r="G224" s="66">
        <v>3420</v>
      </c>
      <c r="M224" s="8">
        <v>2.42</v>
      </c>
    </row>
    <row r="225" spans="1:13">
      <c r="A225" s="69" t="s">
        <v>374</v>
      </c>
      <c r="B225" s="69" t="s">
        <v>985</v>
      </c>
      <c r="C225" s="69" t="s">
        <v>984</v>
      </c>
      <c r="D225" s="71" t="s">
        <v>983</v>
      </c>
      <c r="E225" s="70">
        <v>84</v>
      </c>
      <c r="F225" s="70">
        <v>627</v>
      </c>
      <c r="G225" s="66">
        <v>4110</v>
      </c>
      <c r="M225" s="9">
        <v>2.4209999999999998</v>
      </c>
    </row>
    <row r="226" spans="1:13">
      <c r="A226" s="69" t="s">
        <v>374</v>
      </c>
      <c r="B226" s="69" t="s">
        <v>982</v>
      </c>
      <c r="C226" s="69" t="s">
        <v>974</v>
      </c>
      <c r="D226" s="71" t="s">
        <v>973</v>
      </c>
      <c r="E226" s="70">
        <v>24</v>
      </c>
      <c r="F226" s="70">
        <v>204</v>
      </c>
      <c r="G226" s="66">
        <v>4210</v>
      </c>
      <c r="M226" s="9">
        <v>2.4239999999999999</v>
      </c>
    </row>
    <row r="227" spans="1:13">
      <c r="A227" s="69" t="s">
        <v>374</v>
      </c>
      <c r="B227" s="73" t="s">
        <v>981</v>
      </c>
      <c r="C227" s="73" t="s">
        <v>974</v>
      </c>
      <c r="D227" s="71">
        <v>2.63001</v>
      </c>
      <c r="E227" s="70">
        <v>16</v>
      </c>
      <c r="F227" s="70">
        <v>122</v>
      </c>
      <c r="G227" s="66">
        <v>4710</v>
      </c>
      <c r="M227" s="8">
        <v>2.44</v>
      </c>
    </row>
    <row r="228" spans="1:13">
      <c r="A228" s="83" t="s">
        <v>374</v>
      </c>
      <c r="B228" s="83" t="s">
        <v>980</v>
      </c>
      <c r="C228" s="83" t="s">
        <v>974</v>
      </c>
      <c r="D228" s="71">
        <v>2.63001</v>
      </c>
      <c r="E228" s="70">
        <v>24</v>
      </c>
      <c r="F228" s="70">
        <v>238</v>
      </c>
      <c r="G228" s="66">
        <v>4610</v>
      </c>
      <c r="M228" s="9">
        <v>2.4420000000000002</v>
      </c>
    </row>
    <row r="229" spans="1:13">
      <c r="A229" s="69" t="s">
        <v>374</v>
      </c>
      <c r="B229" s="69" t="s">
        <v>979</v>
      </c>
      <c r="C229" s="69" t="s">
        <v>974</v>
      </c>
      <c r="D229" s="71" t="s">
        <v>973</v>
      </c>
      <c r="E229" s="70">
        <v>28</v>
      </c>
      <c r="F229" s="70">
        <v>275</v>
      </c>
      <c r="G229" s="66">
        <v>4710</v>
      </c>
      <c r="M229" s="8">
        <v>2.46</v>
      </c>
    </row>
    <row r="230" spans="1:13">
      <c r="A230" s="69" t="s">
        <v>397</v>
      </c>
      <c r="B230" s="69" t="s">
        <v>978</v>
      </c>
      <c r="C230" s="69" t="s">
        <v>974</v>
      </c>
      <c r="D230" s="71" t="s">
        <v>973</v>
      </c>
      <c r="E230" s="70">
        <v>15</v>
      </c>
      <c r="F230" s="70">
        <v>101</v>
      </c>
      <c r="G230" s="66">
        <v>2150</v>
      </c>
      <c r="M230" s="9">
        <v>2.4609999999999999</v>
      </c>
    </row>
    <row r="231" spans="1:13">
      <c r="A231" s="69" t="s">
        <v>397</v>
      </c>
      <c r="B231" s="69" t="s">
        <v>977</v>
      </c>
      <c r="C231" s="69" t="s">
        <v>974</v>
      </c>
      <c r="D231" s="71" t="s">
        <v>973</v>
      </c>
      <c r="E231" s="70">
        <v>15</v>
      </c>
      <c r="F231" s="70">
        <v>112</v>
      </c>
      <c r="G231" s="66">
        <v>2350</v>
      </c>
      <c r="M231" s="8">
        <v>2.4700000000000002</v>
      </c>
    </row>
    <row r="232" spans="1:13">
      <c r="A232" s="69" t="s">
        <v>397</v>
      </c>
      <c r="B232" s="69" t="s">
        <v>976</v>
      </c>
      <c r="C232" s="69" t="s">
        <v>974</v>
      </c>
      <c r="D232" s="90" t="s">
        <v>973</v>
      </c>
      <c r="E232" s="70">
        <v>39</v>
      </c>
      <c r="F232" s="70">
        <v>351</v>
      </c>
      <c r="G232" s="66">
        <v>3150</v>
      </c>
      <c r="M232" s="8">
        <v>2.48</v>
      </c>
    </row>
    <row r="233" spans="1:13">
      <c r="A233" s="69" t="s">
        <v>383</v>
      </c>
      <c r="B233" s="69" t="s">
        <v>975</v>
      </c>
      <c r="C233" s="69" t="s">
        <v>974</v>
      </c>
      <c r="D233" s="71" t="s">
        <v>973</v>
      </c>
      <c r="E233" s="70">
        <v>18</v>
      </c>
      <c r="F233" s="70">
        <v>171</v>
      </c>
      <c r="G233" s="66">
        <v>3340</v>
      </c>
      <c r="M233" s="7">
        <v>2.5</v>
      </c>
    </row>
    <row r="234" spans="1:13">
      <c r="A234" s="69" t="s">
        <v>428</v>
      </c>
      <c r="B234" s="69" t="s">
        <v>972</v>
      </c>
      <c r="C234" s="69" t="s">
        <v>970</v>
      </c>
      <c r="D234" s="71" t="s">
        <v>969</v>
      </c>
      <c r="E234" s="70">
        <v>15</v>
      </c>
      <c r="F234" s="70">
        <v>128</v>
      </c>
      <c r="G234" s="66">
        <v>4240</v>
      </c>
      <c r="M234" s="8">
        <v>2.5099999999999998</v>
      </c>
    </row>
    <row r="235" spans="1:13">
      <c r="A235" s="69" t="s">
        <v>374</v>
      </c>
      <c r="B235" s="69" t="s">
        <v>971</v>
      </c>
      <c r="C235" s="69" t="s">
        <v>970</v>
      </c>
      <c r="D235" s="71" t="s">
        <v>969</v>
      </c>
      <c r="E235" s="70">
        <v>16</v>
      </c>
      <c r="F235" s="70">
        <v>136</v>
      </c>
      <c r="G235" s="66">
        <v>4310</v>
      </c>
      <c r="M235" s="9">
        <v>2.5110000000000001</v>
      </c>
    </row>
    <row r="236" spans="1:13">
      <c r="A236" s="69" t="s">
        <v>397</v>
      </c>
      <c r="B236" s="69" t="s">
        <v>968</v>
      </c>
      <c r="C236" s="69" t="s">
        <v>962</v>
      </c>
      <c r="D236" s="71" t="s">
        <v>961</v>
      </c>
      <c r="E236" s="70">
        <v>18</v>
      </c>
      <c r="F236" s="70">
        <v>163</v>
      </c>
      <c r="G236" s="66">
        <v>2450</v>
      </c>
      <c r="M236" s="9">
        <v>2.512</v>
      </c>
    </row>
    <row r="237" spans="1:13">
      <c r="A237" s="69" t="s">
        <v>397</v>
      </c>
      <c r="B237" s="69" t="s">
        <v>967</v>
      </c>
      <c r="C237" s="69" t="s">
        <v>962</v>
      </c>
      <c r="D237" s="71" t="s">
        <v>961</v>
      </c>
      <c r="E237" s="70">
        <v>14</v>
      </c>
      <c r="F237" s="70">
        <v>126</v>
      </c>
      <c r="G237" s="66">
        <v>3250</v>
      </c>
      <c r="M237" s="9">
        <v>2.5129999999999999</v>
      </c>
    </row>
    <row r="238" spans="1:13">
      <c r="A238" s="69" t="s">
        <v>383</v>
      </c>
      <c r="B238" s="69" t="s">
        <v>966</v>
      </c>
      <c r="C238" s="69" t="s">
        <v>962</v>
      </c>
      <c r="D238" s="71" t="s">
        <v>961</v>
      </c>
      <c r="E238" s="70">
        <v>16</v>
      </c>
      <c r="F238" s="70">
        <v>147</v>
      </c>
      <c r="G238" s="66">
        <v>2240</v>
      </c>
      <c r="M238" s="8">
        <v>2.52</v>
      </c>
    </row>
    <row r="239" spans="1:13">
      <c r="A239" s="69" t="s">
        <v>383</v>
      </c>
      <c r="B239" s="69" t="s">
        <v>965</v>
      </c>
      <c r="C239" s="69" t="s">
        <v>962</v>
      </c>
      <c r="D239" s="71" t="s">
        <v>961</v>
      </c>
      <c r="E239" s="70">
        <v>18</v>
      </c>
      <c r="F239" s="70">
        <v>171</v>
      </c>
      <c r="G239" s="66">
        <v>3340</v>
      </c>
      <c r="M239" s="9">
        <v>2.5209999999999999</v>
      </c>
    </row>
    <row r="240" spans="1:13">
      <c r="A240" s="69" t="s">
        <v>393</v>
      </c>
      <c r="B240" s="69" t="s">
        <v>964</v>
      </c>
      <c r="C240" s="69" t="s">
        <v>962</v>
      </c>
      <c r="D240" s="71" t="s">
        <v>961</v>
      </c>
      <c r="E240" s="70">
        <v>15</v>
      </c>
      <c r="F240" s="70">
        <v>101</v>
      </c>
      <c r="G240" s="66">
        <v>2130</v>
      </c>
      <c r="M240" s="9">
        <v>2.5219999999999998</v>
      </c>
    </row>
    <row r="241" spans="1:13">
      <c r="A241" s="69" t="s">
        <v>393</v>
      </c>
      <c r="B241" s="69" t="s">
        <v>963</v>
      </c>
      <c r="C241" s="69" t="s">
        <v>962</v>
      </c>
      <c r="D241" s="71" t="s">
        <v>961</v>
      </c>
      <c r="E241" s="70">
        <v>16</v>
      </c>
      <c r="F241" s="70">
        <v>141</v>
      </c>
      <c r="G241" s="66">
        <v>2330</v>
      </c>
      <c r="M241" s="9">
        <v>2.5230000000000001</v>
      </c>
    </row>
    <row r="242" spans="1:13">
      <c r="A242" s="69" t="s">
        <v>428</v>
      </c>
      <c r="B242" s="69" t="s">
        <v>960</v>
      </c>
      <c r="C242" s="69" t="s">
        <v>956</v>
      </c>
      <c r="D242" s="71" t="s">
        <v>955</v>
      </c>
      <c r="E242" s="70">
        <v>16</v>
      </c>
      <c r="F242" s="70">
        <v>136</v>
      </c>
      <c r="G242" s="66">
        <v>4240</v>
      </c>
      <c r="M242" s="8">
        <v>2.5499999999999998</v>
      </c>
    </row>
    <row r="243" spans="1:13">
      <c r="A243" s="69" t="s">
        <v>386</v>
      </c>
      <c r="B243" s="69" t="s">
        <v>959</v>
      </c>
      <c r="C243" s="69" t="s">
        <v>956</v>
      </c>
      <c r="D243" s="71" t="s">
        <v>955</v>
      </c>
      <c r="E243" s="70">
        <v>14</v>
      </c>
      <c r="F243" s="70">
        <v>173</v>
      </c>
      <c r="G243" s="66">
        <v>4230</v>
      </c>
      <c r="M243" s="9">
        <v>2.5510000000000002</v>
      </c>
    </row>
    <row r="244" spans="1:13">
      <c r="A244" s="69" t="s">
        <v>397</v>
      </c>
      <c r="B244" s="69" t="s">
        <v>958</v>
      </c>
      <c r="C244" s="69" t="s">
        <v>956</v>
      </c>
      <c r="D244" s="71" t="s">
        <v>955</v>
      </c>
      <c r="E244" s="70">
        <v>15</v>
      </c>
      <c r="F244" s="70">
        <v>101</v>
      </c>
      <c r="G244" s="66">
        <v>2150</v>
      </c>
      <c r="M244" s="8">
        <v>2.56</v>
      </c>
    </row>
    <row r="245" spans="1:13">
      <c r="A245" s="69" t="s">
        <v>397</v>
      </c>
      <c r="B245" s="69" t="s">
        <v>957</v>
      </c>
      <c r="C245" s="69" t="s">
        <v>956</v>
      </c>
      <c r="D245" s="71" t="s">
        <v>955</v>
      </c>
      <c r="E245" s="70">
        <v>15</v>
      </c>
      <c r="F245" s="70">
        <v>112</v>
      </c>
      <c r="G245" s="66">
        <v>2350</v>
      </c>
      <c r="M245" s="8">
        <v>2.57</v>
      </c>
    </row>
    <row r="246" spans="1:13">
      <c r="A246" s="69"/>
      <c r="B246" s="69"/>
      <c r="C246" s="69"/>
      <c r="D246" s="68" t="s">
        <v>370</v>
      </c>
      <c r="E246" s="67">
        <f>SUM(E216:E245)</f>
        <v>1210</v>
      </c>
      <c r="F246" s="67">
        <f>SUM(F216:F245)</f>
        <v>9460</v>
      </c>
      <c r="G246" s="66"/>
      <c r="M246" s="7">
        <v>2.6</v>
      </c>
    </row>
    <row r="247" spans="1:13">
      <c r="A247" s="69"/>
      <c r="B247" s="69"/>
      <c r="C247" s="69"/>
      <c r="D247" s="68" t="s">
        <v>954</v>
      </c>
      <c r="E247" s="67">
        <f>E171+E181+E192+E202+E213+E246</f>
        <v>17769</v>
      </c>
      <c r="F247" s="67">
        <f>F171+F181+F192+F202+F213+F246</f>
        <v>161543</v>
      </c>
      <c r="G247" s="66"/>
      <c r="M247" s="8">
        <v>2.61</v>
      </c>
    </row>
    <row r="248" spans="1:13">
      <c r="A248" s="69"/>
      <c r="B248" s="69"/>
      <c r="C248" s="69"/>
      <c r="D248" s="71"/>
      <c r="E248" s="70"/>
      <c r="F248" s="70"/>
      <c r="G248" s="66"/>
      <c r="M248" s="8">
        <v>2.62</v>
      </c>
    </row>
    <row r="249" spans="1:13">
      <c r="A249" s="82" t="s">
        <v>953</v>
      </c>
      <c r="B249" s="69"/>
      <c r="C249" s="69"/>
      <c r="D249" s="71"/>
      <c r="E249" s="70"/>
      <c r="F249" s="70"/>
      <c r="G249" s="66"/>
      <c r="M249" s="9">
        <v>2.621</v>
      </c>
    </row>
    <row r="250" spans="1:13">
      <c r="A250" s="82" t="s">
        <v>952</v>
      </c>
      <c r="B250" s="69"/>
      <c r="C250" s="69"/>
      <c r="D250" s="71"/>
      <c r="E250" s="70"/>
      <c r="F250" s="70"/>
      <c r="G250" s="66"/>
      <c r="M250" s="8">
        <v>2.63</v>
      </c>
    </row>
    <row r="251" spans="1:13">
      <c r="A251" s="69" t="s">
        <v>451</v>
      </c>
      <c r="B251" s="69" t="s">
        <v>951</v>
      </c>
      <c r="C251" s="69" t="s">
        <v>950</v>
      </c>
      <c r="D251" s="71" t="s">
        <v>949</v>
      </c>
      <c r="E251" s="70">
        <v>970</v>
      </c>
      <c r="F251" s="70">
        <v>10130</v>
      </c>
      <c r="G251" s="66">
        <v>3520</v>
      </c>
      <c r="M251" s="7">
        <v>2.7</v>
      </c>
    </row>
    <row r="252" spans="1:13">
      <c r="A252" s="69"/>
      <c r="B252" s="69"/>
      <c r="C252" s="69"/>
      <c r="D252" s="68" t="s">
        <v>370</v>
      </c>
      <c r="E252" s="67">
        <f>SUM(E251)</f>
        <v>970</v>
      </c>
      <c r="F252" s="67">
        <f>SUM(F251)</f>
        <v>10130</v>
      </c>
      <c r="G252" s="66"/>
      <c r="M252" s="9">
        <v>2.71</v>
      </c>
    </row>
    <row r="253" spans="1:13">
      <c r="A253" s="69"/>
      <c r="B253" s="69"/>
      <c r="C253" s="69"/>
      <c r="D253" s="71"/>
      <c r="E253" s="70"/>
      <c r="F253" s="70"/>
      <c r="G253" s="66"/>
      <c r="M253" s="3"/>
    </row>
    <row r="254" spans="1:13">
      <c r="A254" s="82" t="s">
        <v>948</v>
      </c>
      <c r="B254" s="69"/>
      <c r="C254" s="69"/>
      <c r="D254" s="71"/>
      <c r="E254" s="70"/>
      <c r="F254" s="70"/>
      <c r="G254" s="66"/>
      <c r="M254" s="1">
        <v>3</v>
      </c>
    </row>
    <row r="255" spans="1:13">
      <c r="A255" s="69" t="s">
        <v>397</v>
      </c>
      <c r="B255" s="69" t="s">
        <v>947</v>
      </c>
      <c r="C255" s="69" t="s">
        <v>946</v>
      </c>
      <c r="D255" s="71" t="s">
        <v>945</v>
      </c>
      <c r="E255" s="70">
        <v>166</v>
      </c>
      <c r="F255" s="70">
        <v>1883</v>
      </c>
      <c r="G255" s="66">
        <v>1450</v>
      </c>
      <c r="M255" s="7">
        <v>3.1</v>
      </c>
    </row>
    <row r="256" spans="1:13">
      <c r="A256" s="69" t="s">
        <v>397</v>
      </c>
      <c r="B256" s="69" t="s">
        <v>944</v>
      </c>
      <c r="C256" s="69" t="s">
        <v>943</v>
      </c>
      <c r="D256" s="71" t="s">
        <v>942</v>
      </c>
      <c r="E256" s="70">
        <v>117</v>
      </c>
      <c r="F256" s="70">
        <v>1071</v>
      </c>
      <c r="G256" s="66">
        <v>2250</v>
      </c>
      <c r="M256" s="8">
        <v>3.11</v>
      </c>
    </row>
    <row r="257" spans="1:13">
      <c r="A257" s="69" t="s">
        <v>397</v>
      </c>
      <c r="B257" s="69" t="s">
        <v>941</v>
      </c>
      <c r="C257" s="69" t="s">
        <v>940</v>
      </c>
      <c r="D257" s="71" t="s">
        <v>939</v>
      </c>
      <c r="E257" s="70">
        <v>40</v>
      </c>
      <c r="F257" s="70">
        <v>360</v>
      </c>
      <c r="G257" s="66">
        <v>3250</v>
      </c>
      <c r="M257" s="8">
        <v>3.12</v>
      </c>
    </row>
    <row r="258" spans="1:13">
      <c r="A258" s="69" t="s">
        <v>397</v>
      </c>
      <c r="B258" s="69" t="s">
        <v>938</v>
      </c>
      <c r="C258" s="69" t="s">
        <v>937</v>
      </c>
      <c r="D258" s="71" t="s">
        <v>936</v>
      </c>
      <c r="E258" s="70">
        <v>148</v>
      </c>
      <c r="F258" s="70">
        <v>1354</v>
      </c>
      <c r="G258" s="66">
        <v>3150</v>
      </c>
      <c r="M258" s="8">
        <v>3.15</v>
      </c>
    </row>
    <row r="259" spans="1:13">
      <c r="A259" s="69" t="s">
        <v>383</v>
      </c>
      <c r="B259" s="69" t="s">
        <v>935</v>
      </c>
      <c r="C259" s="69" t="s">
        <v>934</v>
      </c>
      <c r="D259" s="71" t="s">
        <v>933</v>
      </c>
      <c r="E259" s="70">
        <v>147</v>
      </c>
      <c r="F259" s="70">
        <v>1530</v>
      </c>
      <c r="G259" s="66">
        <v>3440</v>
      </c>
      <c r="M259" s="7">
        <v>3.2</v>
      </c>
    </row>
    <row r="260" spans="1:13">
      <c r="A260" s="69" t="s">
        <v>451</v>
      </c>
      <c r="B260" s="69" t="s">
        <v>932</v>
      </c>
      <c r="C260" s="73" t="s">
        <v>931</v>
      </c>
      <c r="D260" s="71">
        <v>3.2509999999999999</v>
      </c>
      <c r="E260" s="70">
        <v>411</v>
      </c>
      <c r="F260" s="70">
        <v>4759</v>
      </c>
      <c r="G260" s="66">
        <v>1320</v>
      </c>
      <c r="M260" s="8">
        <v>3.21</v>
      </c>
    </row>
    <row r="261" spans="1:13">
      <c r="A261" s="69" t="s">
        <v>383</v>
      </c>
      <c r="B261" s="69" t="s">
        <v>930</v>
      </c>
      <c r="C261" s="73" t="s">
        <v>929</v>
      </c>
      <c r="D261" s="71">
        <v>3.2509999999999999</v>
      </c>
      <c r="E261" s="70">
        <v>144</v>
      </c>
      <c r="F261" s="70">
        <v>1321</v>
      </c>
      <c r="G261" s="66">
        <v>2340</v>
      </c>
      <c r="M261" s="8">
        <v>3.22</v>
      </c>
    </row>
    <row r="262" spans="1:13">
      <c r="A262" s="69" t="s">
        <v>393</v>
      </c>
      <c r="B262" s="69" t="s">
        <v>928</v>
      </c>
      <c r="C262" s="73" t="s">
        <v>927</v>
      </c>
      <c r="D262" s="71">
        <v>3.2509999999999999</v>
      </c>
      <c r="E262" s="70">
        <v>0</v>
      </c>
      <c r="F262" s="70">
        <v>548</v>
      </c>
      <c r="G262" s="66">
        <v>1430</v>
      </c>
      <c r="M262" s="8">
        <v>3.25</v>
      </c>
    </row>
    <row r="263" spans="1:13">
      <c r="A263" s="69" t="s">
        <v>397</v>
      </c>
      <c r="B263" s="69" t="s">
        <v>926</v>
      </c>
      <c r="C263" s="73" t="s">
        <v>925</v>
      </c>
      <c r="D263" s="71">
        <v>3.2509999999999999</v>
      </c>
      <c r="E263" s="70">
        <v>0</v>
      </c>
      <c r="F263" s="70">
        <v>506</v>
      </c>
      <c r="G263" s="66">
        <v>2450</v>
      </c>
      <c r="M263" s="7">
        <v>3.3</v>
      </c>
    </row>
    <row r="264" spans="1:13">
      <c r="A264" s="69" t="s">
        <v>393</v>
      </c>
      <c r="B264" s="69" t="s">
        <v>924</v>
      </c>
      <c r="C264" s="73" t="s">
        <v>923</v>
      </c>
      <c r="D264" s="71">
        <v>3.2509999999999999</v>
      </c>
      <c r="E264" s="70">
        <v>65</v>
      </c>
      <c r="F264" s="70">
        <v>596</v>
      </c>
      <c r="G264" s="66">
        <v>1430</v>
      </c>
      <c r="M264" s="9">
        <v>3.3010000000000002</v>
      </c>
    </row>
    <row r="265" spans="1:13">
      <c r="A265" s="69" t="s">
        <v>397</v>
      </c>
      <c r="B265" s="69" t="s">
        <v>922</v>
      </c>
      <c r="C265" s="73" t="s">
        <v>921</v>
      </c>
      <c r="D265" s="71">
        <v>3.2509999999999999</v>
      </c>
      <c r="E265" s="70">
        <v>34</v>
      </c>
      <c r="F265" s="70">
        <v>529</v>
      </c>
      <c r="G265" s="66">
        <v>2450</v>
      </c>
      <c r="M265" s="9">
        <v>3.302</v>
      </c>
    </row>
    <row r="266" spans="1:13">
      <c r="A266" s="69" t="s">
        <v>397</v>
      </c>
      <c r="B266" s="69" t="s">
        <v>920</v>
      </c>
      <c r="C266" s="69" t="s">
        <v>919</v>
      </c>
      <c r="D266" s="71" t="s">
        <v>918</v>
      </c>
      <c r="E266" s="70">
        <v>120</v>
      </c>
      <c r="F266" s="70">
        <v>1617</v>
      </c>
      <c r="G266" s="66">
        <v>1350</v>
      </c>
      <c r="M266" s="9">
        <v>3.3029999999999999</v>
      </c>
    </row>
    <row r="267" spans="1:13">
      <c r="A267" s="69" t="s">
        <v>397</v>
      </c>
      <c r="B267" s="69" t="s">
        <v>917</v>
      </c>
      <c r="C267" s="69" t="s">
        <v>916</v>
      </c>
      <c r="D267" s="71">
        <v>3.25101</v>
      </c>
      <c r="E267" s="70">
        <v>111</v>
      </c>
      <c r="F267" s="70">
        <v>1022</v>
      </c>
      <c r="G267" s="66">
        <v>3150</v>
      </c>
      <c r="M267" s="9">
        <v>3.3039999999999998</v>
      </c>
    </row>
    <row r="268" spans="1:13">
      <c r="A268" s="69"/>
      <c r="B268" s="69"/>
      <c r="C268" s="69"/>
      <c r="D268" s="68" t="s">
        <v>370</v>
      </c>
      <c r="E268" s="67">
        <f>SUM(E255:E267)</f>
        <v>1503</v>
      </c>
      <c r="F268" s="67">
        <f>SUM(F255:F267)</f>
        <v>17096</v>
      </c>
      <c r="G268" s="66"/>
      <c r="M268" s="9">
        <v>3.3050000000000002</v>
      </c>
    </row>
    <row r="269" spans="1:13">
      <c r="A269" s="69"/>
      <c r="B269" s="69"/>
      <c r="C269" s="69"/>
      <c r="D269" s="71"/>
      <c r="E269" s="70"/>
      <c r="F269" s="70"/>
      <c r="G269" s="66"/>
      <c r="M269" s="9">
        <v>3.306</v>
      </c>
    </row>
    <row r="270" spans="1:13">
      <c r="A270" s="82" t="s">
        <v>915</v>
      </c>
      <c r="B270" s="69"/>
      <c r="C270" s="69"/>
      <c r="D270" s="71"/>
      <c r="E270" s="70"/>
      <c r="F270" s="70"/>
      <c r="G270" s="66"/>
      <c r="M270" s="9">
        <v>3.3069999999999999</v>
      </c>
    </row>
    <row r="271" spans="1:13">
      <c r="A271" s="69" t="s">
        <v>397</v>
      </c>
      <c r="B271" s="69" t="s">
        <v>914</v>
      </c>
      <c r="C271" s="69" t="s">
        <v>913</v>
      </c>
      <c r="D271" s="71" t="s">
        <v>912</v>
      </c>
      <c r="E271" s="70">
        <v>88</v>
      </c>
      <c r="F271" s="70">
        <v>822</v>
      </c>
      <c r="G271" s="66">
        <v>2150</v>
      </c>
      <c r="M271" s="9">
        <v>3.3079999999999998</v>
      </c>
    </row>
    <row r="272" spans="1:13">
      <c r="A272" s="83" t="s">
        <v>397</v>
      </c>
      <c r="B272" s="83" t="s">
        <v>911</v>
      </c>
      <c r="C272" s="83" t="s">
        <v>910</v>
      </c>
      <c r="D272" s="71">
        <v>3.3010199999999998</v>
      </c>
      <c r="E272" s="70">
        <v>188</v>
      </c>
      <c r="F272" s="70">
        <v>1898</v>
      </c>
      <c r="G272" s="66">
        <v>1450</v>
      </c>
      <c r="M272" s="9">
        <v>3.3090000000000002</v>
      </c>
    </row>
    <row r="273" spans="1:13">
      <c r="A273" s="69" t="s">
        <v>393</v>
      </c>
      <c r="B273" s="73" t="s">
        <v>909</v>
      </c>
      <c r="C273" s="73" t="s">
        <v>908</v>
      </c>
      <c r="D273" s="71">
        <v>3.3020399999999999</v>
      </c>
      <c r="E273" s="70">
        <v>59</v>
      </c>
      <c r="F273" s="70">
        <v>505</v>
      </c>
      <c r="G273" s="66">
        <v>3230</v>
      </c>
      <c r="M273" s="8">
        <v>3.31</v>
      </c>
    </row>
    <row r="274" spans="1:13">
      <c r="A274" s="69" t="s">
        <v>397</v>
      </c>
      <c r="B274" s="69" t="s">
        <v>907</v>
      </c>
      <c r="C274" s="69" t="s">
        <v>906</v>
      </c>
      <c r="D274" s="71" t="s">
        <v>905</v>
      </c>
      <c r="E274" s="70">
        <v>67</v>
      </c>
      <c r="F274" s="70">
        <v>696</v>
      </c>
      <c r="G274" s="66">
        <v>2450</v>
      </c>
      <c r="M274" s="7">
        <v>3.5</v>
      </c>
    </row>
    <row r="275" spans="1:13">
      <c r="A275" s="69" t="s">
        <v>397</v>
      </c>
      <c r="B275" s="69" t="s">
        <v>904</v>
      </c>
      <c r="C275" s="69" t="s">
        <v>903</v>
      </c>
      <c r="D275" s="71">
        <v>3.3022399999999998</v>
      </c>
      <c r="E275" s="70">
        <v>59</v>
      </c>
      <c r="F275" s="70">
        <v>536</v>
      </c>
      <c r="G275" s="66">
        <v>2250</v>
      </c>
      <c r="M275" s="8">
        <v>3.51</v>
      </c>
    </row>
    <row r="276" spans="1:13">
      <c r="A276" s="69" t="s">
        <v>397</v>
      </c>
      <c r="B276" s="69" t="s">
        <v>902</v>
      </c>
      <c r="C276" s="69" t="s">
        <v>901</v>
      </c>
      <c r="D276" s="71" t="s">
        <v>900</v>
      </c>
      <c r="E276" s="70">
        <v>280</v>
      </c>
      <c r="F276" s="70">
        <v>2561</v>
      </c>
      <c r="G276" s="66">
        <v>2450</v>
      </c>
      <c r="M276" s="8">
        <v>3.52</v>
      </c>
    </row>
    <row r="277" spans="1:13">
      <c r="A277" s="69" t="s">
        <v>383</v>
      </c>
      <c r="B277" s="69" t="s">
        <v>899</v>
      </c>
      <c r="C277" s="69" t="s">
        <v>898</v>
      </c>
      <c r="D277" s="71">
        <v>3.30301</v>
      </c>
      <c r="E277" s="70">
        <v>66</v>
      </c>
      <c r="F277" s="70">
        <v>700</v>
      </c>
      <c r="G277" s="66">
        <v>2240</v>
      </c>
      <c r="M277" s="8">
        <v>3.53</v>
      </c>
    </row>
    <row r="278" spans="1:13">
      <c r="A278" s="69" t="s">
        <v>535</v>
      </c>
      <c r="B278" s="69" t="s">
        <v>897</v>
      </c>
      <c r="C278" s="69" t="s">
        <v>896</v>
      </c>
      <c r="D278" s="71" t="s">
        <v>895</v>
      </c>
      <c r="E278" s="70">
        <v>85</v>
      </c>
      <c r="F278" s="70">
        <v>655</v>
      </c>
      <c r="G278" s="66">
        <v>1260</v>
      </c>
      <c r="M278" s="8">
        <v>3.54</v>
      </c>
    </row>
    <row r="279" spans="1:13">
      <c r="A279" s="69" t="s">
        <v>397</v>
      </c>
      <c r="B279" s="69" t="s">
        <v>894</v>
      </c>
      <c r="C279" s="69" t="s">
        <v>893</v>
      </c>
      <c r="D279" s="71" t="s">
        <v>890</v>
      </c>
      <c r="E279" s="70">
        <v>165</v>
      </c>
      <c r="F279" s="70">
        <v>1483</v>
      </c>
      <c r="G279" s="66">
        <v>2450</v>
      </c>
      <c r="M279" s="7">
        <v>3.6</v>
      </c>
    </row>
    <row r="280" spans="1:13">
      <c r="A280" s="69" t="s">
        <v>397</v>
      </c>
      <c r="B280" s="69" t="s">
        <v>892</v>
      </c>
      <c r="C280" s="69" t="s">
        <v>891</v>
      </c>
      <c r="D280" s="71" t="s">
        <v>890</v>
      </c>
      <c r="E280" s="70">
        <v>91</v>
      </c>
      <c r="F280" s="70">
        <v>1138</v>
      </c>
      <c r="G280" s="66">
        <v>1450</v>
      </c>
      <c r="M280" s="7">
        <v>3.61</v>
      </c>
    </row>
    <row r="281" spans="1:13">
      <c r="A281" s="69" t="s">
        <v>393</v>
      </c>
      <c r="B281" s="69" t="s">
        <v>889</v>
      </c>
      <c r="C281" s="69" t="s">
        <v>888</v>
      </c>
      <c r="D281" s="71" t="s">
        <v>887</v>
      </c>
      <c r="E281" s="70">
        <v>290</v>
      </c>
      <c r="F281" s="70">
        <v>2558</v>
      </c>
      <c r="G281" s="66">
        <v>2330</v>
      </c>
      <c r="M281" s="9">
        <v>3.6110000000000002</v>
      </c>
    </row>
    <row r="282" spans="1:13">
      <c r="A282" s="69" t="s">
        <v>383</v>
      </c>
      <c r="B282" s="69" t="s">
        <v>886</v>
      </c>
      <c r="C282" s="69" t="s">
        <v>885</v>
      </c>
      <c r="D282" s="71" t="s">
        <v>884</v>
      </c>
      <c r="E282" s="70">
        <v>75</v>
      </c>
      <c r="F282" s="70">
        <v>688</v>
      </c>
      <c r="G282" s="66">
        <v>2340</v>
      </c>
      <c r="M282" s="9">
        <v>3.6120000000000001</v>
      </c>
    </row>
    <row r="283" spans="1:13">
      <c r="A283" s="69" t="s">
        <v>374</v>
      </c>
      <c r="B283" s="69" t="s">
        <v>883</v>
      </c>
      <c r="C283" s="69" t="s">
        <v>882</v>
      </c>
      <c r="D283" s="71" t="s">
        <v>877</v>
      </c>
      <c r="E283" s="70">
        <v>21</v>
      </c>
      <c r="F283" s="70">
        <v>221</v>
      </c>
      <c r="G283" s="66">
        <v>4410</v>
      </c>
      <c r="M283" s="9">
        <v>3.613</v>
      </c>
    </row>
    <row r="284" spans="1:13">
      <c r="A284" s="69" t="s">
        <v>374</v>
      </c>
      <c r="B284" s="69" t="s">
        <v>881</v>
      </c>
      <c r="C284" s="69" t="s">
        <v>880</v>
      </c>
      <c r="D284" s="71" t="s">
        <v>877</v>
      </c>
      <c r="E284" s="70">
        <v>10</v>
      </c>
      <c r="F284" s="70">
        <v>87</v>
      </c>
      <c r="G284" s="66">
        <v>4410</v>
      </c>
      <c r="M284" s="9">
        <v>3.6139999999999999</v>
      </c>
    </row>
    <row r="285" spans="1:13">
      <c r="A285" s="69" t="s">
        <v>397</v>
      </c>
      <c r="B285" s="69" t="s">
        <v>879</v>
      </c>
      <c r="C285" s="69" t="s">
        <v>878</v>
      </c>
      <c r="D285" s="71" t="s">
        <v>877</v>
      </c>
      <c r="E285" s="70">
        <v>18</v>
      </c>
      <c r="F285" s="70">
        <v>137</v>
      </c>
      <c r="G285" s="66">
        <v>3250</v>
      </c>
      <c r="M285" s="8">
        <v>3.62</v>
      </c>
    </row>
    <row r="286" spans="1:13">
      <c r="A286" s="69" t="s">
        <v>397</v>
      </c>
      <c r="B286" s="69" t="s">
        <v>876</v>
      </c>
      <c r="C286" s="69" t="s">
        <v>875</v>
      </c>
      <c r="D286" s="71" t="s">
        <v>874</v>
      </c>
      <c r="E286" s="70">
        <v>59</v>
      </c>
      <c r="F286" s="70">
        <v>603</v>
      </c>
      <c r="G286" s="66">
        <v>1450</v>
      </c>
      <c r="M286" s="8">
        <v>3.63</v>
      </c>
    </row>
    <row r="287" spans="1:13">
      <c r="A287" s="69"/>
      <c r="B287" s="69"/>
      <c r="C287" s="69"/>
      <c r="D287" s="68" t="s">
        <v>370</v>
      </c>
      <c r="E287" s="67">
        <f>SUM(E271:E286)</f>
        <v>1621</v>
      </c>
      <c r="F287" s="67">
        <f>SUM(F271:F286)</f>
        <v>15288</v>
      </c>
      <c r="G287" s="66"/>
      <c r="M287" s="8">
        <v>3.64</v>
      </c>
    </row>
    <row r="288" spans="1:13">
      <c r="A288" s="69"/>
      <c r="B288" s="69"/>
      <c r="C288" s="69"/>
      <c r="D288" s="71"/>
      <c r="E288" s="70"/>
      <c r="F288" s="70"/>
      <c r="G288" s="66"/>
      <c r="M288" s="7">
        <v>3.7</v>
      </c>
    </row>
    <row r="289" spans="1:13">
      <c r="A289" s="82" t="s">
        <v>873</v>
      </c>
      <c r="B289" s="69"/>
      <c r="C289" s="69"/>
      <c r="D289" s="71"/>
      <c r="E289" s="70"/>
      <c r="F289" s="70"/>
      <c r="G289" s="66"/>
      <c r="M289" s="8">
        <v>3.71</v>
      </c>
    </row>
    <row r="290" spans="1:13">
      <c r="A290" s="69" t="s">
        <v>535</v>
      </c>
      <c r="B290" s="69" t="s">
        <v>872</v>
      </c>
      <c r="C290" s="69" t="s">
        <v>871</v>
      </c>
      <c r="D290" s="71" t="s">
        <v>870</v>
      </c>
      <c r="E290" s="70">
        <v>311</v>
      </c>
      <c r="F290" s="70">
        <v>4448</v>
      </c>
      <c r="G290" s="66">
        <v>1160</v>
      </c>
      <c r="M290" s="9">
        <v>3.7109999999999999</v>
      </c>
    </row>
    <row r="291" spans="1:13">
      <c r="A291" s="69" t="s">
        <v>393</v>
      </c>
      <c r="B291" s="69" t="s">
        <v>869</v>
      </c>
      <c r="C291" s="69" t="s">
        <v>867</v>
      </c>
      <c r="D291" s="71" t="s">
        <v>866</v>
      </c>
      <c r="E291" s="70">
        <v>36</v>
      </c>
      <c r="F291" s="70">
        <v>1402</v>
      </c>
      <c r="G291" s="66">
        <v>1150</v>
      </c>
      <c r="M291" s="9">
        <v>3.7120000000000002</v>
      </c>
    </row>
    <row r="292" spans="1:13">
      <c r="A292" s="69" t="s">
        <v>393</v>
      </c>
      <c r="B292" s="69" t="s">
        <v>868</v>
      </c>
      <c r="C292" s="69" t="s">
        <v>867</v>
      </c>
      <c r="D292" s="71" t="s">
        <v>866</v>
      </c>
      <c r="E292" s="70">
        <v>36</v>
      </c>
      <c r="F292" s="70">
        <v>1402</v>
      </c>
      <c r="G292" s="66">
        <v>1150</v>
      </c>
      <c r="M292" s="9">
        <v>3.7130000000000001</v>
      </c>
    </row>
    <row r="293" spans="1:13">
      <c r="A293" s="69" t="s">
        <v>393</v>
      </c>
      <c r="B293" s="69" t="s">
        <v>865</v>
      </c>
      <c r="C293" s="69" t="s">
        <v>864</v>
      </c>
      <c r="D293" s="71" t="s">
        <v>863</v>
      </c>
      <c r="E293" s="70">
        <v>20</v>
      </c>
      <c r="F293" s="70">
        <v>314</v>
      </c>
      <c r="G293" s="66">
        <v>1150</v>
      </c>
      <c r="M293" s="9">
        <v>3.714</v>
      </c>
    </row>
    <row r="294" spans="1:13">
      <c r="A294" s="69" t="s">
        <v>374</v>
      </c>
      <c r="B294" s="69" t="s">
        <v>862</v>
      </c>
      <c r="C294" s="69" t="s">
        <v>861</v>
      </c>
      <c r="D294" s="71" t="s">
        <v>860</v>
      </c>
      <c r="E294" s="70">
        <v>70</v>
      </c>
      <c r="F294" s="70">
        <v>633</v>
      </c>
      <c r="G294" s="66">
        <v>4410</v>
      </c>
      <c r="M294" s="9">
        <v>3.7149999999999999</v>
      </c>
    </row>
    <row r="295" spans="1:13">
      <c r="A295" s="69"/>
      <c r="B295" s="69"/>
      <c r="C295" s="69"/>
      <c r="D295" s="68" t="s">
        <v>370</v>
      </c>
      <c r="E295" s="67">
        <f>SUM(E290:E294)</f>
        <v>473</v>
      </c>
      <c r="F295" s="67">
        <f>SUM(F290:F294)</f>
        <v>8199</v>
      </c>
      <c r="G295" s="66"/>
      <c r="M295" s="8">
        <v>3.72</v>
      </c>
    </row>
    <row r="296" spans="1:13">
      <c r="A296" s="69"/>
      <c r="B296" s="69"/>
      <c r="C296" s="69"/>
      <c r="D296" s="71"/>
      <c r="E296" s="70"/>
      <c r="F296" s="70"/>
      <c r="G296" s="66"/>
      <c r="M296" s="8">
        <v>3.73</v>
      </c>
    </row>
    <row r="297" spans="1:13">
      <c r="A297" s="82" t="s">
        <v>859</v>
      </c>
      <c r="B297" s="69"/>
      <c r="C297" s="69"/>
      <c r="D297" s="71"/>
      <c r="E297" s="70"/>
      <c r="F297" s="70"/>
      <c r="G297" s="66"/>
      <c r="M297" s="8">
        <v>3.74</v>
      </c>
    </row>
    <row r="298" spans="1:13">
      <c r="A298" s="69" t="s">
        <v>374</v>
      </c>
      <c r="B298" s="69" t="s">
        <v>858</v>
      </c>
      <c r="C298" s="69" t="s">
        <v>857</v>
      </c>
      <c r="D298" s="71" t="s">
        <v>856</v>
      </c>
      <c r="E298" s="70">
        <v>184</v>
      </c>
      <c r="F298" s="70">
        <v>1917</v>
      </c>
      <c r="G298" s="66">
        <v>4310</v>
      </c>
      <c r="M298" s="8">
        <v>3.75</v>
      </c>
    </row>
    <row r="299" spans="1:13">
      <c r="A299" s="83" t="s">
        <v>374</v>
      </c>
      <c r="B299" s="83" t="s">
        <v>855</v>
      </c>
      <c r="C299" s="83" t="s">
        <v>854</v>
      </c>
      <c r="D299" s="71">
        <v>3.6120100000000002</v>
      </c>
      <c r="E299" s="70">
        <v>147</v>
      </c>
      <c r="F299" s="70">
        <v>1352</v>
      </c>
      <c r="G299" s="66">
        <v>4610</v>
      </c>
      <c r="M299" s="8">
        <v>3.76</v>
      </c>
    </row>
    <row r="300" spans="1:13">
      <c r="A300" s="69" t="s">
        <v>374</v>
      </c>
      <c r="B300" s="69" t="s">
        <v>853</v>
      </c>
      <c r="C300" s="69" t="s">
        <v>852</v>
      </c>
      <c r="D300" s="71" t="s">
        <v>851</v>
      </c>
      <c r="E300" s="70">
        <v>160</v>
      </c>
      <c r="F300" s="70">
        <v>1485</v>
      </c>
      <c r="G300" s="66">
        <v>4310</v>
      </c>
      <c r="M300" s="8">
        <v>3.78</v>
      </c>
    </row>
    <row r="301" spans="1:13">
      <c r="A301" s="69" t="s">
        <v>383</v>
      </c>
      <c r="B301" s="69" t="s">
        <v>850</v>
      </c>
      <c r="C301" s="69" t="s">
        <v>849</v>
      </c>
      <c r="D301" s="71" t="s">
        <v>848</v>
      </c>
      <c r="E301" s="70">
        <v>102</v>
      </c>
      <c r="F301" s="70">
        <v>977</v>
      </c>
      <c r="G301" s="66">
        <v>3140</v>
      </c>
      <c r="M301" s="7">
        <v>3.8</v>
      </c>
    </row>
    <row r="302" spans="1:13">
      <c r="A302" s="69" t="s">
        <v>383</v>
      </c>
      <c r="B302" s="69" t="s">
        <v>847</v>
      </c>
      <c r="C302" s="69" t="s">
        <v>846</v>
      </c>
      <c r="D302" s="71" t="s">
        <v>845</v>
      </c>
      <c r="E302" s="70">
        <v>503</v>
      </c>
      <c r="F302" s="70">
        <v>4802</v>
      </c>
      <c r="G302" s="66">
        <v>2240</v>
      </c>
      <c r="M302" s="8">
        <v>3.82</v>
      </c>
    </row>
    <row r="303" spans="1:13">
      <c r="A303" s="69" t="s">
        <v>393</v>
      </c>
      <c r="B303" s="69" t="s">
        <v>844</v>
      </c>
      <c r="C303" s="69" t="s">
        <v>843</v>
      </c>
      <c r="D303" s="71" t="s">
        <v>842</v>
      </c>
      <c r="E303" s="70">
        <v>79</v>
      </c>
      <c r="F303" s="70">
        <v>760</v>
      </c>
      <c r="G303" s="66">
        <v>2230</v>
      </c>
      <c r="M303" s="9">
        <v>3.8210000000000002</v>
      </c>
    </row>
    <row r="304" spans="1:13">
      <c r="A304" s="81"/>
      <c r="B304" s="81"/>
      <c r="C304" s="81"/>
      <c r="D304" s="89" t="s">
        <v>370</v>
      </c>
      <c r="E304" s="88">
        <f>SUM(E298:E303)</f>
        <v>1175</v>
      </c>
      <c r="F304" s="88">
        <f>SUM(F298:F303)</f>
        <v>11293</v>
      </c>
      <c r="G304" s="78"/>
      <c r="M304" s="9">
        <v>3.8220000000000001</v>
      </c>
    </row>
    <row r="305" spans="1:13">
      <c r="A305" s="81"/>
      <c r="B305" s="81"/>
      <c r="C305" s="81"/>
      <c r="D305" s="80"/>
      <c r="E305" s="79"/>
      <c r="F305" s="79"/>
      <c r="G305" s="78"/>
      <c r="M305" s="7">
        <v>3.9</v>
      </c>
    </row>
    <row r="306" spans="1:13">
      <c r="A306" s="87" t="s">
        <v>841</v>
      </c>
      <c r="B306" s="81"/>
      <c r="C306" s="81"/>
      <c r="D306" s="80"/>
      <c r="E306" s="79"/>
      <c r="F306" s="79"/>
      <c r="G306" s="78"/>
      <c r="M306" s="8">
        <v>3.91</v>
      </c>
    </row>
    <row r="307" spans="1:13">
      <c r="A307" s="81" t="s">
        <v>451</v>
      </c>
      <c r="B307" s="81" t="s">
        <v>840</v>
      </c>
      <c r="C307" s="86" t="s">
        <v>839</v>
      </c>
      <c r="D307" s="80">
        <v>3.7031000000000001</v>
      </c>
      <c r="E307" s="79">
        <v>268</v>
      </c>
      <c r="F307" s="79">
        <v>2290</v>
      </c>
      <c r="G307" s="78">
        <v>3420</v>
      </c>
      <c r="I307" s="59" t="s">
        <v>619</v>
      </c>
      <c r="J307" s="131">
        <f>SUM(E438:E464)/3.2808^2</f>
        <v>0</v>
      </c>
      <c r="K307" s="131">
        <f>SUM(F438:F464)/3.2808^3</f>
        <v>1885.5176963308836</v>
      </c>
      <c r="M307" s="9">
        <v>3.911</v>
      </c>
    </row>
    <row r="308" spans="1:13">
      <c r="A308" s="83" t="s">
        <v>393</v>
      </c>
      <c r="B308" s="83" t="s">
        <v>838</v>
      </c>
      <c r="C308" s="83" t="s">
        <v>837</v>
      </c>
      <c r="D308" s="85" t="s">
        <v>834</v>
      </c>
      <c r="E308" s="70">
        <v>138</v>
      </c>
      <c r="F308" s="70">
        <v>1187</v>
      </c>
      <c r="G308" s="84">
        <v>3430</v>
      </c>
      <c r="M308" s="10">
        <v>3.9110100000000001</v>
      </c>
    </row>
    <row r="309" spans="1:13">
      <c r="A309" s="83" t="s">
        <v>393</v>
      </c>
      <c r="B309" s="83" t="s">
        <v>836</v>
      </c>
      <c r="C309" s="83" t="s">
        <v>835</v>
      </c>
      <c r="D309" s="85" t="s">
        <v>834</v>
      </c>
      <c r="E309" s="70">
        <v>192</v>
      </c>
      <c r="F309" s="70">
        <v>1651</v>
      </c>
      <c r="G309" s="84">
        <v>3430</v>
      </c>
      <c r="I309" s="59" t="s">
        <v>606</v>
      </c>
      <c r="J309" s="131">
        <f>SUM(E465:E470)/3.2808^2</f>
        <v>0</v>
      </c>
      <c r="K309" s="131">
        <f>SUM(F465:F470)/3.2808^3</f>
        <v>50.490779354769394</v>
      </c>
      <c r="M309" s="10">
        <v>3.9110399999999998</v>
      </c>
    </row>
    <row r="310" spans="1:13">
      <c r="A310" s="69" t="s">
        <v>383</v>
      </c>
      <c r="B310" s="69" t="s">
        <v>833</v>
      </c>
      <c r="C310" s="69" t="s">
        <v>832</v>
      </c>
      <c r="D310" s="71" t="s">
        <v>831</v>
      </c>
      <c r="E310" s="70">
        <v>97</v>
      </c>
      <c r="F310" s="70">
        <v>1032</v>
      </c>
      <c r="G310" s="66">
        <v>3340</v>
      </c>
      <c r="I310" s="59" t="s">
        <v>604</v>
      </c>
      <c r="J310" s="131">
        <f>SUM(E471)/3.2808^2</f>
        <v>0.37162119777257979</v>
      </c>
      <c r="K310" s="131">
        <f>SUM(F471)/3.2808^3</f>
        <v>1.0477615457804081</v>
      </c>
    </row>
    <row r="311" spans="1:13">
      <c r="A311" s="69" t="s">
        <v>535</v>
      </c>
      <c r="B311" s="69" t="s">
        <v>830</v>
      </c>
      <c r="C311" s="73" t="s">
        <v>829</v>
      </c>
      <c r="D311" s="71">
        <v>3.7112050000000001</v>
      </c>
      <c r="E311" s="70">
        <v>104</v>
      </c>
      <c r="F311" s="70">
        <v>1228</v>
      </c>
      <c r="G311" s="66">
        <v>1260</v>
      </c>
    </row>
    <row r="312" spans="1:13">
      <c r="A312" s="69" t="s">
        <v>383</v>
      </c>
      <c r="B312" s="69" t="s">
        <v>828</v>
      </c>
      <c r="C312" s="69" t="s">
        <v>827</v>
      </c>
      <c r="D312" s="71" t="s">
        <v>826</v>
      </c>
      <c r="E312" s="70">
        <v>42</v>
      </c>
      <c r="F312" s="70">
        <v>479</v>
      </c>
      <c r="G312" s="66">
        <v>3440</v>
      </c>
      <c r="I312" s="59" t="s">
        <v>598</v>
      </c>
      <c r="J312" s="131">
        <f>SUM(E472:E473)/3.2808^2</f>
        <v>0</v>
      </c>
      <c r="K312" s="131">
        <f>SUM(F472:F473)/3.2808^3</f>
        <v>13.366039178604126</v>
      </c>
    </row>
    <row r="313" spans="1:13">
      <c r="A313" s="69" t="s">
        <v>451</v>
      </c>
      <c r="B313" s="69" t="s">
        <v>825</v>
      </c>
      <c r="C313" s="69" t="s">
        <v>824</v>
      </c>
      <c r="D313" s="71" t="s">
        <v>823</v>
      </c>
      <c r="E313" s="70">
        <v>103</v>
      </c>
      <c r="F313" s="70">
        <v>925</v>
      </c>
      <c r="G313" s="66">
        <v>1420</v>
      </c>
      <c r="I313" s="59" t="s">
        <v>598</v>
      </c>
      <c r="J313" s="131">
        <f>SUM(E474)/3.2808^2</f>
        <v>1.858105988862899</v>
      </c>
      <c r="K313" s="131">
        <f>SUM(F474)/3.2808^3</f>
        <v>5.2671256085177269</v>
      </c>
    </row>
    <row r="314" spans="1:13">
      <c r="A314" s="69" t="s">
        <v>393</v>
      </c>
      <c r="B314" s="69" t="s">
        <v>822</v>
      </c>
      <c r="C314" s="69" t="s">
        <v>821</v>
      </c>
      <c r="D314" s="71" t="s">
        <v>814</v>
      </c>
      <c r="E314" s="70">
        <v>1447</v>
      </c>
      <c r="F314" s="70">
        <v>12434</v>
      </c>
      <c r="G314" s="66">
        <v>2330</v>
      </c>
      <c r="I314" s="59" t="s">
        <v>595</v>
      </c>
      <c r="J314" s="131">
        <f>SUM(E475)/3.2808^2</f>
        <v>0.37162119777257979</v>
      </c>
      <c r="K314" s="131">
        <f>SUM(F475)/3.2808^3</f>
        <v>1.0194436661647215</v>
      </c>
    </row>
    <row r="315" spans="1:13">
      <c r="A315" s="69" t="s">
        <v>393</v>
      </c>
      <c r="B315" s="69" t="s">
        <v>820</v>
      </c>
      <c r="C315" s="69" t="s">
        <v>819</v>
      </c>
      <c r="D315" s="71" t="s">
        <v>814</v>
      </c>
      <c r="E315" s="70">
        <v>90</v>
      </c>
      <c r="F315" s="70">
        <v>777</v>
      </c>
      <c r="G315" s="66">
        <v>3230</v>
      </c>
      <c r="I315" s="59" t="s">
        <v>585</v>
      </c>
      <c r="J315" s="131">
        <f>SUM(E476:E483)/3.2808^2</f>
        <v>0</v>
      </c>
      <c r="K315" s="131">
        <f>SUM(F476:F483)/3.2808^3</f>
        <v>39.560077823114327</v>
      </c>
    </row>
    <row r="316" spans="1:13">
      <c r="A316" s="69" t="s">
        <v>451</v>
      </c>
      <c r="B316" s="69" t="s">
        <v>818</v>
      </c>
      <c r="C316" s="69" t="s">
        <v>817</v>
      </c>
      <c r="D316" s="71" t="s">
        <v>814</v>
      </c>
      <c r="E316" s="70">
        <v>0</v>
      </c>
      <c r="F316" s="70">
        <v>5072</v>
      </c>
      <c r="G316" s="66">
        <v>3320</v>
      </c>
      <c r="I316" s="59" t="s">
        <v>579</v>
      </c>
      <c r="J316" s="131">
        <f>SUM(E484:E487)/3.2808^2</f>
        <v>0</v>
      </c>
      <c r="K316" s="131">
        <f>SUM(F484:F487)/3.2808^3</f>
        <v>19.284476018282646</v>
      </c>
    </row>
    <row r="317" spans="1:13">
      <c r="A317" s="69" t="s">
        <v>451</v>
      </c>
      <c r="B317" s="69" t="s">
        <v>816</v>
      </c>
      <c r="C317" s="69" t="s">
        <v>815</v>
      </c>
      <c r="D317" s="71" t="s">
        <v>814</v>
      </c>
      <c r="E317" s="70">
        <v>0</v>
      </c>
      <c r="F317" s="70">
        <v>5072</v>
      </c>
      <c r="G317" s="66">
        <v>3320</v>
      </c>
      <c r="I317" s="59" t="s">
        <v>575</v>
      </c>
      <c r="J317" s="131">
        <f>SUM(E488:E489)/3.2808^2</f>
        <v>0</v>
      </c>
      <c r="K317" s="131">
        <f>SUM(F488:F489)/3.2808^3</f>
        <v>17.726992639419876</v>
      </c>
    </row>
    <row r="318" spans="1:13">
      <c r="A318" s="69" t="s">
        <v>397</v>
      </c>
      <c r="B318" s="69" t="s">
        <v>813</v>
      </c>
      <c r="C318" s="69" t="s">
        <v>812</v>
      </c>
      <c r="D318" s="71">
        <v>3.7131090000000002</v>
      </c>
      <c r="E318" s="70">
        <v>9</v>
      </c>
      <c r="F318" s="70">
        <v>84</v>
      </c>
      <c r="G318" s="66">
        <v>2450</v>
      </c>
    </row>
    <row r="319" spans="1:13">
      <c r="A319" s="69" t="s">
        <v>383</v>
      </c>
      <c r="B319" s="69" t="s">
        <v>811</v>
      </c>
      <c r="C319" s="69" t="s">
        <v>810</v>
      </c>
      <c r="D319" s="71" t="s">
        <v>809</v>
      </c>
      <c r="E319" s="70">
        <v>288</v>
      </c>
      <c r="F319" s="70">
        <v>2093</v>
      </c>
      <c r="G319" s="66">
        <v>2340</v>
      </c>
      <c r="M319" s="9">
        <v>3.9140000000000001</v>
      </c>
    </row>
    <row r="320" spans="1:13">
      <c r="A320" s="69" t="s">
        <v>393</v>
      </c>
      <c r="B320" s="69" t="s">
        <v>808</v>
      </c>
      <c r="C320" s="69" t="s">
        <v>807</v>
      </c>
      <c r="D320" s="71" t="s">
        <v>806</v>
      </c>
      <c r="E320" s="70">
        <v>17</v>
      </c>
      <c r="F320" s="70">
        <v>447</v>
      </c>
      <c r="G320" s="66">
        <v>2330</v>
      </c>
      <c r="I320" s="59" t="s">
        <v>572</v>
      </c>
      <c r="J320" s="131">
        <f>SUM(E490)/3.2808^2</f>
        <v>2.6013483844080585</v>
      </c>
      <c r="K320" s="131">
        <f>SUM(F490)/3.2808^3</f>
        <v>56.041083759443993</v>
      </c>
      <c r="M320" s="8">
        <v>3.92</v>
      </c>
    </row>
    <row r="321" spans="1:14">
      <c r="A321" s="69" t="s">
        <v>383</v>
      </c>
      <c r="B321" s="69" t="s">
        <v>805</v>
      </c>
      <c r="C321" s="69" t="s">
        <v>804</v>
      </c>
      <c r="D321" s="71" t="s">
        <v>803</v>
      </c>
      <c r="E321" s="70">
        <v>52</v>
      </c>
      <c r="F321" s="70">
        <v>522</v>
      </c>
      <c r="G321" s="66">
        <v>3140</v>
      </c>
    </row>
    <row r="322" spans="1:14">
      <c r="A322" s="69" t="s">
        <v>802</v>
      </c>
      <c r="B322" s="69" t="s">
        <v>801</v>
      </c>
      <c r="C322" s="69" t="s">
        <v>800</v>
      </c>
      <c r="D322" s="71" t="s">
        <v>799</v>
      </c>
      <c r="E322" s="70">
        <v>21</v>
      </c>
      <c r="F322" s="70">
        <v>84</v>
      </c>
      <c r="G322" s="66">
        <v>4250</v>
      </c>
      <c r="I322" s="59" t="s">
        <v>566</v>
      </c>
      <c r="J322" s="131">
        <f>SUM(E491:E494)/3.2808^2</f>
        <v>0</v>
      </c>
      <c r="K322" s="131">
        <f>SUM(F491:F494)/3.2808^3</f>
        <v>59.524182952173454</v>
      </c>
      <c r="M322" s="8">
        <v>3.93</v>
      </c>
    </row>
    <row r="323" spans="1:14">
      <c r="A323" s="69" t="s">
        <v>443</v>
      </c>
      <c r="B323" s="69" t="s">
        <v>798</v>
      </c>
      <c r="C323" s="69" t="s">
        <v>792</v>
      </c>
      <c r="D323" s="71" t="s">
        <v>791</v>
      </c>
      <c r="E323" s="70">
        <v>162</v>
      </c>
      <c r="F323" s="70">
        <v>696</v>
      </c>
      <c r="G323" s="66">
        <v>3250</v>
      </c>
    </row>
    <row r="324" spans="1:14">
      <c r="A324" s="69" t="s">
        <v>797</v>
      </c>
      <c r="B324" s="69" t="s">
        <v>796</v>
      </c>
      <c r="C324" s="69" t="s">
        <v>792</v>
      </c>
      <c r="D324" s="71" t="s">
        <v>791</v>
      </c>
      <c r="E324" s="70">
        <v>56</v>
      </c>
      <c r="F324" s="70">
        <v>525</v>
      </c>
      <c r="G324" s="66">
        <v>4310</v>
      </c>
      <c r="M324" s="8">
        <v>3.94</v>
      </c>
    </row>
    <row r="325" spans="1:14">
      <c r="A325" s="69" t="s">
        <v>374</v>
      </c>
      <c r="B325" s="69" t="s">
        <v>795</v>
      </c>
      <c r="C325" s="69" t="s">
        <v>792</v>
      </c>
      <c r="D325" s="71" t="s">
        <v>791</v>
      </c>
      <c r="E325" s="70">
        <v>49</v>
      </c>
      <c r="F325" s="70">
        <v>449</v>
      </c>
      <c r="G325" s="66">
        <v>4310</v>
      </c>
      <c r="I325" s="59" t="s">
        <v>561</v>
      </c>
      <c r="J325" s="131">
        <f>SUM(E495:E496)/3.2808^2</f>
        <v>22.483082465241079</v>
      </c>
      <c r="K325" s="131">
        <f>SUM(F495:F496)/3.2808^3</f>
        <v>108.68402196500558</v>
      </c>
      <c r="M325" s="9">
        <v>3.9409999999999998</v>
      </c>
    </row>
    <row r="326" spans="1:14">
      <c r="A326" s="69" t="s">
        <v>374</v>
      </c>
      <c r="B326" s="69" t="s">
        <v>794</v>
      </c>
      <c r="C326" s="73" t="s">
        <v>792</v>
      </c>
      <c r="D326" s="71">
        <v>3.7400100200000002</v>
      </c>
      <c r="E326" s="70">
        <v>102</v>
      </c>
      <c r="F326" s="70">
        <v>931</v>
      </c>
      <c r="G326" s="66">
        <v>4510</v>
      </c>
    </row>
    <row r="327" spans="1:14">
      <c r="A327" s="69" t="s">
        <v>374</v>
      </c>
      <c r="B327" s="69" t="s">
        <v>793</v>
      </c>
      <c r="C327" s="69" t="s">
        <v>792</v>
      </c>
      <c r="D327" s="71" t="s">
        <v>791</v>
      </c>
      <c r="E327" s="70">
        <v>72</v>
      </c>
      <c r="F327" s="70">
        <v>582</v>
      </c>
      <c r="G327" s="66">
        <v>4610</v>
      </c>
      <c r="I327" s="59" t="s">
        <v>558</v>
      </c>
      <c r="J327" s="131">
        <f>SUM(E497)/3.2808^2</f>
        <v>0</v>
      </c>
      <c r="K327" s="131">
        <f>SUM(F497)/3.2808^3</f>
        <v>11.072290929733501</v>
      </c>
      <c r="M327" s="9">
        <v>3.9420000000000002</v>
      </c>
    </row>
    <row r="328" spans="1:14">
      <c r="A328" s="69" t="s">
        <v>535</v>
      </c>
      <c r="B328" s="69" t="s">
        <v>790</v>
      </c>
      <c r="C328" s="69" t="s">
        <v>789</v>
      </c>
      <c r="D328" s="71" t="s">
        <v>786</v>
      </c>
      <c r="E328" s="70">
        <v>603</v>
      </c>
      <c r="F328" s="70">
        <v>6555</v>
      </c>
      <c r="G328" s="66">
        <v>1260</v>
      </c>
      <c r="I328" s="59" t="s">
        <v>555</v>
      </c>
      <c r="J328" s="131">
        <f>SUM(E498)/3.2808^2</f>
        <v>0</v>
      </c>
      <c r="K328" s="131">
        <f>SUM(F498)/3.2808^3</f>
        <v>11.072290929733501</v>
      </c>
    </row>
    <row r="329" spans="1:14" s="53" customFormat="1">
      <c r="A329" s="69" t="s">
        <v>451</v>
      </c>
      <c r="B329" s="69" t="s">
        <v>788</v>
      </c>
      <c r="C329" s="69" t="s">
        <v>787</v>
      </c>
      <c r="D329" s="71" t="s">
        <v>786</v>
      </c>
      <c r="E329" s="70">
        <v>268</v>
      </c>
      <c r="F329" s="70">
        <v>2290</v>
      </c>
      <c r="G329" s="66">
        <v>3420</v>
      </c>
      <c r="I329" s="59">
        <v>3.9420299999999999</v>
      </c>
      <c r="J329" s="131">
        <f>SUM(E499:E505)/3.2808^2</f>
        <v>0</v>
      </c>
      <c r="K329" s="131">
        <f>SUM(F499:F505)/3.2808^3</f>
        <v>19.114568740588528</v>
      </c>
      <c r="L329" s="52"/>
      <c r="M329" s="52"/>
      <c r="N329" s="52"/>
    </row>
    <row r="330" spans="1:14" s="53" customFormat="1">
      <c r="A330" s="73" t="s">
        <v>374</v>
      </c>
      <c r="B330" s="73" t="s">
        <v>785</v>
      </c>
      <c r="C330" s="73" t="s">
        <v>784</v>
      </c>
      <c r="D330" s="71">
        <v>3.7400600000000002</v>
      </c>
      <c r="E330" s="70">
        <v>50</v>
      </c>
      <c r="F330" s="70">
        <v>410</v>
      </c>
      <c r="G330" s="66">
        <v>4710</v>
      </c>
      <c r="L330" s="52"/>
      <c r="N330" s="52"/>
    </row>
    <row r="331" spans="1:14">
      <c r="A331" s="69" t="s">
        <v>383</v>
      </c>
      <c r="B331" s="69" t="s">
        <v>783</v>
      </c>
      <c r="C331" s="69" t="s">
        <v>782</v>
      </c>
      <c r="D331" s="71" t="s">
        <v>781</v>
      </c>
      <c r="E331" s="70">
        <v>137</v>
      </c>
      <c r="F331" s="70">
        <v>1730</v>
      </c>
      <c r="G331" s="66">
        <v>3540</v>
      </c>
      <c r="I331" s="59" t="s">
        <v>533</v>
      </c>
      <c r="J331" s="131">
        <f>SUM(E506:E512)/3.2808^2</f>
        <v>54.442505473682942</v>
      </c>
      <c r="K331" s="131">
        <f>SUM(F506:F512)/3.2808^3</f>
        <v>100.27361171914663</v>
      </c>
      <c r="M331" s="7">
        <v>3.95</v>
      </c>
    </row>
    <row r="332" spans="1:14">
      <c r="A332" s="69" t="s">
        <v>374</v>
      </c>
      <c r="B332" s="69" t="s">
        <v>780</v>
      </c>
      <c r="C332" s="69" t="s">
        <v>779</v>
      </c>
      <c r="D332" s="71" t="s">
        <v>778</v>
      </c>
      <c r="E332" s="70">
        <v>49</v>
      </c>
      <c r="F332" s="70">
        <v>328</v>
      </c>
      <c r="G332" s="66">
        <v>4110</v>
      </c>
      <c r="I332" s="59">
        <v>3.9500199999999999</v>
      </c>
      <c r="J332" s="131">
        <f>SUM(E513:E518)/3.2808^2</f>
        <v>0</v>
      </c>
      <c r="K332" s="131">
        <f>SUM(F513:F518)/3.2808^3</f>
        <v>28.1196544583769</v>
      </c>
      <c r="L332" s="53"/>
    </row>
    <row r="333" spans="1:14">
      <c r="A333" s="69" t="s">
        <v>397</v>
      </c>
      <c r="B333" s="69" t="s">
        <v>777</v>
      </c>
      <c r="C333" s="69" t="s">
        <v>776</v>
      </c>
      <c r="D333" s="71" t="s">
        <v>775</v>
      </c>
      <c r="E333" s="70">
        <v>92</v>
      </c>
      <c r="F333" s="70">
        <v>1044</v>
      </c>
      <c r="G333" s="66">
        <v>1350</v>
      </c>
      <c r="L333" s="53"/>
    </row>
    <row r="334" spans="1:14">
      <c r="A334" s="69" t="s">
        <v>535</v>
      </c>
      <c r="B334" s="69" t="s">
        <v>774</v>
      </c>
      <c r="C334" s="69" t="s">
        <v>773</v>
      </c>
      <c r="D334" s="71" t="s">
        <v>772</v>
      </c>
      <c r="E334" s="70">
        <v>143</v>
      </c>
      <c r="F334" s="70">
        <v>3469</v>
      </c>
      <c r="G334" s="66">
        <v>1160</v>
      </c>
      <c r="I334" s="59" t="s">
        <v>520</v>
      </c>
      <c r="J334" s="131">
        <f>SUM(E519:E520)/3.2808^2</f>
        <v>0</v>
      </c>
      <c r="K334" s="131">
        <f>SUM(F519:F520)/3.2808^3</f>
        <v>60.571944497953865</v>
      </c>
      <c r="L334" s="53"/>
      <c r="M334" s="7">
        <v>3.96</v>
      </c>
    </row>
    <row r="335" spans="1:14">
      <c r="A335" s="69" t="s">
        <v>443</v>
      </c>
      <c r="B335" s="69" t="s">
        <v>771</v>
      </c>
      <c r="C335" s="69" t="s">
        <v>770</v>
      </c>
      <c r="D335" s="71" t="s">
        <v>769</v>
      </c>
      <c r="E335" s="70">
        <v>191</v>
      </c>
      <c r="F335" s="70">
        <v>2043</v>
      </c>
      <c r="G335" s="66">
        <v>4520</v>
      </c>
      <c r="L335" s="53"/>
    </row>
    <row r="336" spans="1:14">
      <c r="A336" s="69" t="s">
        <v>393</v>
      </c>
      <c r="B336" s="73" t="s">
        <v>768</v>
      </c>
      <c r="C336" s="73" t="s">
        <v>767</v>
      </c>
      <c r="D336" s="71">
        <v>3.7600099999999999</v>
      </c>
      <c r="E336" s="70">
        <v>59</v>
      </c>
      <c r="F336" s="70">
        <v>505</v>
      </c>
      <c r="G336" s="66">
        <v>3230</v>
      </c>
      <c r="M336" s="7">
        <v>3.97</v>
      </c>
    </row>
    <row r="337" spans="1:14">
      <c r="A337" s="69" t="s">
        <v>428</v>
      </c>
      <c r="B337" s="69" t="s">
        <v>766</v>
      </c>
      <c r="C337" s="69" t="s">
        <v>751</v>
      </c>
      <c r="D337" s="71" t="s">
        <v>750</v>
      </c>
      <c r="E337" s="70">
        <v>24</v>
      </c>
      <c r="F337" s="70">
        <v>204</v>
      </c>
      <c r="G337" s="66">
        <v>4240</v>
      </c>
    </row>
    <row r="338" spans="1:14">
      <c r="A338" s="69" t="s">
        <v>443</v>
      </c>
      <c r="B338" s="69" t="s">
        <v>765</v>
      </c>
      <c r="C338" s="69" t="s">
        <v>751</v>
      </c>
      <c r="D338" s="71" t="s">
        <v>750</v>
      </c>
      <c r="E338" s="70">
        <v>14</v>
      </c>
      <c r="F338" s="70">
        <v>110</v>
      </c>
      <c r="G338" s="66">
        <v>4220</v>
      </c>
      <c r="M338" s="1">
        <v>4</v>
      </c>
    </row>
    <row r="339" spans="1:14">
      <c r="A339" s="69" t="s">
        <v>443</v>
      </c>
      <c r="B339" s="69" t="s">
        <v>764</v>
      </c>
      <c r="C339" s="69" t="s">
        <v>751</v>
      </c>
      <c r="D339" s="71" t="s">
        <v>750</v>
      </c>
      <c r="E339" s="70">
        <v>15</v>
      </c>
      <c r="F339" s="70">
        <v>61</v>
      </c>
      <c r="G339" s="66">
        <v>4220</v>
      </c>
      <c r="M339" s="7">
        <v>4.0999999999999996</v>
      </c>
    </row>
    <row r="340" spans="1:14">
      <c r="A340" s="69" t="s">
        <v>443</v>
      </c>
      <c r="B340" s="69" t="s">
        <v>763</v>
      </c>
      <c r="C340" s="69" t="s">
        <v>751</v>
      </c>
      <c r="D340" s="71" t="s">
        <v>750</v>
      </c>
      <c r="E340" s="70">
        <v>15</v>
      </c>
      <c r="F340" s="70">
        <v>61</v>
      </c>
      <c r="G340" s="66">
        <v>4220</v>
      </c>
      <c r="M340" s="8">
        <v>4.13</v>
      </c>
    </row>
    <row r="341" spans="1:14">
      <c r="A341" s="69" t="s">
        <v>374</v>
      </c>
      <c r="B341" s="69" t="s">
        <v>762</v>
      </c>
      <c r="C341" s="69" t="s">
        <v>751</v>
      </c>
      <c r="D341" s="71" t="s">
        <v>750</v>
      </c>
      <c r="E341" s="70">
        <v>12</v>
      </c>
      <c r="F341" s="70">
        <v>110</v>
      </c>
      <c r="G341" s="66">
        <v>4710</v>
      </c>
      <c r="M341" s="9">
        <v>4.1310000000000002</v>
      </c>
    </row>
    <row r="342" spans="1:14">
      <c r="A342" s="83" t="s">
        <v>397</v>
      </c>
      <c r="B342" s="83" t="s">
        <v>761</v>
      </c>
      <c r="C342" s="83" t="s">
        <v>751</v>
      </c>
      <c r="D342" s="71">
        <v>3.78000998</v>
      </c>
      <c r="E342" s="70">
        <v>10</v>
      </c>
      <c r="F342" s="70">
        <v>92</v>
      </c>
      <c r="G342" s="66">
        <v>1450</v>
      </c>
      <c r="M342" s="9">
        <v>4.1319999999999997</v>
      </c>
    </row>
    <row r="343" spans="1:14">
      <c r="A343" s="69" t="s">
        <v>397</v>
      </c>
      <c r="B343" s="69" t="s">
        <v>760</v>
      </c>
      <c r="C343" s="69" t="s">
        <v>751</v>
      </c>
      <c r="D343" s="71" t="s">
        <v>750</v>
      </c>
      <c r="E343" s="70">
        <v>24</v>
      </c>
      <c r="F343" s="70">
        <v>234</v>
      </c>
      <c r="G343" s="66">
        <v>2350</v>
      </c>
      <c r="M343" s="9">
        <v>4.133</v>
      </c>
    </row>
    <row r="344" spans="1:14">
      <c r="A344" s="69" t="s">
        <v>383</v>
      </c>
      <c r="B344" s="69" t="s">
        <v>759</v>
      </c>
      <c r="C344" s="69" t="s">
        <v>751</v>
      </c>
      <c r="D344" s="71" t="s">
        <v>750</v>
      </c>
      <c r="E344" s="70">
        <v>13</v>
      </c>
      <c r="F344" s="70">
        <v>115</v>
      </c>
      <c r="G344" s="66">
        <v>1440</v>
      </c>
      <c r="M344" s="9">
        <v>4.1340000000000003</v>
      </c>
    </row>
    <row r="345" spans="1:14">
      <c r="A345" s="83" t="s">
        <v>383</v>
      </c>
      <c r="B345" s="83" t="s">
        <v>758</v>
      </c>
      <c r="C345" s="83" t="s">
        <v>751</v>
      </c>
      <c r="D345" s="71">
        <v>3.78000998</v>
      </c>
      <c r="E345" s="70">
        <v>9</v>
      </c>
      <c r="F345" s="70">
        <v>79</v>
      </c>
      <c r="G345" s="66">
        <v>3140</v>
      </c>
      <c r="M345" s="8">
        <v>4.1399999999999997</v>
      </c>
    </row>
    <row r="346" spans="1:14" s="53" customFormat="1">
      <c r="A346" s="69" t="s">
        <v>383</v>
      </c>
      <c r="B346" s="69" t="s">
        <v>757</v>
      </c>
      <c r="C346" s="69" t="s">
        <v>751</v>
      </c>
      <c r="D346" s="71" t="s">
        <v>750</v>
      </c>
      <c r="E346" s="70">
        <v>9</v>
      </c>
      <c r="F346" s="70">
        <v>133</v>
      </c>
      <c r="G346" s="66">
        <v>3240</v>
      </c>
      <c r="I346" s="59" t="s">
        <v>512</v>
      </c>
      <c r="J346" s="115">
        <f>SUM(E526:E527)/3.2808^2</f>
        <v>0</v>
      </c>
      <c r="K346" s="115">
        <f>SUM(F526:F527)/3.2808^3</f>
        <v>3355.8952774958002</v>
      </c>
      <c r="L346" s="52"/>
      <c r="M346" s="9">
        <v>4.141</v>
      </c>
      <c r="N346" s="52"/>
    </row>
    <row r="347" spans="1:14" s="53" customFormat="1">
      <c r="A347" s="83" t="s">
        <v>393</v>
      </c>
      <c r="B347" s="83" t="s">
        <v>756</v>
      </c>
      <c r="C347" s="83" t="s">
        <v>751</v>
      </c>
      <c r="D347" s="71">
        <v>3.78000998</v>
      </c>
      <c r="E347" s="70">
        <v>11</v>
      </c>
      <c r="F347" s="70">
        <v>95</v>
      </c>
      <c r="G347" s="66">
        <v>1430</v>
      </c>
      <c r="I347" s="52"/>
      <c r="J347" s="52"/>
      <c r="K347" s="52"/>
      <c r="L347" s="52"/>
      <c r="M347" s="52"/>
      <c r="N347" s="52"/>
    </row>
    <row r="348" spans="1:14" s="53" customFormat="1">
      <c r="A348" s="69" t="s">
        <v>393</v>
      </c>
      <c r="B348" s="69" t="s">
        <v>755</v>
      </c>
      <c r="C348" s="69" t="s">
        <v>751</v>
      </c>
      <c r="D348" s="71" t="s">
        <v>750</v>
      </c>
      <c r="E348" s="70">
        <v>11</v>
      </c>
      <c r="F348" s="70">
        <v>97</v>
      </c>
      <c r="G348" s="66">
        <v>3130</v>
      </c>
      <c r="I348" s="59" t="s">
        <v>489</v>
      </c>
      <c r="J348" s="115">
        <f>SUM(E528:E540)/3.2808^2</f>
        <v>450.31198640092356</v>
      </c>
      <c r="K348" s="115">
        <f>SUM(F528:F540)/3.2808^3</f>
        <v>1209.739817182136</v>
      </c>
      <c r="L348" s="52"/>
      <c r="M348" s="9">
        <v>4.1420000000000003</v>
      </c>
      <c r="N348" s="52"/>
    </row>
    <row r="349" spans="1:14" s="53" customFormat="1">
      <c r="A349" s="69" t="s">
        <v>393</v>
      </c>
      <c r="B349" s="69" t="s">
        <v>754</v>
      </c>
      <c r="C349" s="69" t="s">
        <v>751</v>
      </c>
      <c r="D349" s="71" t="s">
        <v>750</v>
      </c>
      <c r="E349" s="70">
        <v>9</v>
      </c>
      <c r="F349" s="70">
        <v>77</v>
      </c>
      <c r="G349" s="66">
        <v>3130</v>
      </c>
      <c r="I349" s="52"/>
      <c r="J349" s="52"/>
      <c r="K349" s="52"/>
      <c r="L349" s="52"/>
      <c r="N349" s="52"/>
    </row>
    <row r="350" spans="1:14" s="53" customFormat="1">
      <c r="A350" s="69" t="s">
        <v>393</v>
      </c>
      <c r="B350" s="69" t="s">
        <v>753</v>
      </c>
      <c r="C350" s="69" t="s">
        <v>751</v>
      </c>
      <c r="D350" s="71" t="s">
        <v>750</v>
      </c>
      <c r="E350" s="70">
        <v>6</v>
      </c>
      <c r="F350" s="70">
        <v>52</v>
      </c>
      <c r="G350" s="66">
        <v>3230</v>
      </c>
      <c r="I350" s="59" t="s">
        <v>483</v>
      </c>
      <c r="J350" s="115">
        <f>SUM(E541:E543)/3.2808^2</f>
        <v>152.36469108675772</v>
      </c>
      <c r="K350" s="115">
        <f>SUM(F541:F543)/3.2808^3</f>
        <v>432.24411445384186</v>
      </c>
      <c r="L350" s="52"/>
      <c r="M350" s="9">
        <v>4.1429999999999998</v>
      </c>
      <c r="N350" s="52"/>
    </row>
    <row r="351" spans="1:14" s="53" customFormat="1">
      <c r="A351" s="69" t="s">
        <v>393</v>
      </c>
      <c r="B351" s="69" t="s">
        <v>752</v>
      </c>
      <c r="C351" s="69" t="s">
        <v>751</v>
      </c>
      <c r="D351" s="71" t="s">
        <v>750</v>
      </c>
      <c r="E351" s="70">
        <v>10</v>
      </c>
      <c r="F351" s="70">
        <v>86</v>
      </c>
      <c r="G351" s="66">
        <v>3230</v>
      </c>
      <c r="I351" s="52"/>
      <c r="J351" s="52"/>
      <c r="K351" s="52"/>
      <c r="L351" s="52"/>
      <c r="N351" s="52"/>
    </row>
    <row r="352" spans="1:14" s="53" customFormat="1">
      <c r="A352" s="69"/>
      <c r="B352" s="69"/>
      <c r="C352" s="69"/>
      <c r="D352" s="68" t="s">
        <v>370</v>
      </c>
      <c r="E352" s="67">
        <f>SUM(E307:E351)</f>
        <v>5093</v>
      </c>
      <c r="F352" s="67">
        <f>SUM(F307:F351)</f>
        <v>58540</v>
      </c>
      <c r="G352" s="66"/>
      <c r="I352" s="59" t="s">
        <v>480</v>
      </c>
      <c r="J352" s="115">
        <f>SUM(E544)/3.2808^2</f>
        <v>51.84115708927488</v>
      </c>
      <c r="K352" s="115">
        <f>SUM(F544)/3.2808^3</f>
        <v>145.61053698386104</v>
      </c>
      <c r="L352" s="52"/>
      <c r="M352" s="9">
        <v>4.1440000000000001</v>
      </c>
      <c r="N352" s="52"/>
    </row>
    <row r="353" spans="1:14" s="53" customFormat="1">
      <c r="A353" s="69"/>
      <c r="B353" s="69"/>
      <c r="C353" s="69"/>
      <c r="D353" s="71"/>
      <c r="E353" s="70"/>
      <c r="F353" s="70"/>
      <c r="G353" s="66"/>
      <c r="I353" s="52"/>
      <c r="J353" s="52"/>
      <c r="K353" s="52"/>
      <c r="L353" s="52"/>
      <c r="M353" s="52"/>
      <c r="N353" s="52"/>
    </row>
    <row r="354" spans="1:14" s="53" customFormat="1">
      <c r="A354" s="82" t="s">
        <v>749</v>
      </c>
      <c r="B354" s="69"/>
      <c r="C354" s="69"/>
      <c r="D354" s="71"/>
      <c r="E354" s="70"/>
      <c r="F354" s="70"/>
      <c r="G354" s="66"/>
      <c r="I354" s="52"/>
      <c r="J354" s="52"/>
      <c r="K354" s="52"/>
      <c r="L354" s="52"/>
      <c r="M354" s="127">
        <v>4.1500000000000004</v>
      </c>
      <c r="N354" s="52"/>
    </row>
    <row r="355" spans="1:14" s="53" customFormat="1">
      <c r="A355" s="69" t="s">
        <v>397</v>
      </c>
      <c r="B355" s="69" t="s">
        <v>748</v>
      </c>
      <c r="C355" s="69" t="s">
        <v>673</v>
      </c>
      <c r="D355" s="71" t="s">
        <v>696</v>
      </c>
      <c r="E355" s="70">
        <v>87</v>
      </c>
      <c r="F355" s="70">
        <v>811</v>
      </c>
      <c r="G355" s="66">
        <v>2350</v>
      </c>
      <c r="I355" s="59" t="s">
        <v>477</v>
      </c>
      <c r="J355" s="115">
        <f>SUM(E545)/3.2808^2</f>
        <v>83.614769498830455</v>
      </c>
      <c r="K355" s="115">
        <f>SUM(F545)/3.2808^3</f>
        <v>446.6579151782264</v>
      </c>
      <c r="L355" s="52"/>
      <c r="M355" s="128">
        <v>4.1509999999999998</v>
      </c>
      <c r="N355" s="52"/>
    </row>
    <row r="356" spans="1:14" s="53" customFormat="1">
      <c r="A356" s="69" t="s">
        <v>393</v>
      </c>
      <c r="B356" s="69" t="s">
        <v>747</v>
      </c>
      <c r="C356" s="69" t="s">
        <v>663</v>
      </c>
      <c r="D356" s="71" t="s">
        <v>696</v>
      </c>
      <c r="E356" s="70">
        <v>22</v>
      </c>
      <c r="F356" s="70">
        <v>398</v>
      </c>
      <c r="G356" s="66">
        <v>1430</v>
      </c>
      <c r="I356" s="52"/>
      <c r="J356" s="52"/>
      <c r="K356" s="52"/>
      <c r="L356" s="52"/>
      <c r="M356" s="52"/>
      <c r="N356" s="52"/>
    </row>
    <row r="357" spans="1:14" s="53" customFormat="1">
      <c r="A357" s="69" t="s">
        <v>428</v>
      </c>
      <c r="B357" s="69" t="s">
        <v>746</v>
      </c>
      <c r="C357" s="69" t="s">
        <v>697</v>
      </c>
      <c r="D357" s="71" t="s">
        <v>696</v>
      </c>
      <c r="E357" s="70">
        <v>52</v>
      </c>
      <c r="F357" s="70">
        <v>442</v>
      </c>
      <c r="G357" s="66">
        <v>4240</v>
      </c>
      <c r="I357" s="59" t="s">
        <v>464</v>
      </c>
      <c r="J357" s="115">
        <f>SUM(E546:E553)/3.2808^2</f>
        <v>78.133356831684907</v>
      </c>
      <c r="K357" s="115">
        <f>SUM(F546:F553)/3.2808^3</f>
        <v>211.44960709033265</v>
      </c>
      <c r="L357" s="52"/>
      <c r="M357" s="128">
        <v>4.1520000000000001</v>
      </c>
      <c r="N357" s="52"/>
    </row>
    <row r="358" spans="1:14" s="53" customFormat="1">
      <c r="A358" s="69" t="s">
        <v>386</v>
      </c>
      <c r="B358" s="69" t="s">
        <v>745</v>
      </c>
      <c r="C358" s="69" t="s">
        <v>697</v>
      </c>
      <c r="D358" s="71" t="s">
        <v>696</v>
      </c>
      <c r="E358" s="70">
        <v>58</v>
      </c>
      <c r="F358" s="70">
        <v>645</v>
      </c>
      <c r="G358" s="66">
        <v>4230</v>
      </c>
      <c r="L358" s="52"/>
      <c r="M358" s="52"/>
      <c r="N358" s="52"/>
    </row>
    <row r="359" spans="1:14" s="53" customFormat="1">
      <c r="A359" s="69" t="s">
        <v>386</v>
      </c>
      <c r="B359" s="69" t="s">
        <v>744</v>
      </c>
      <c r="C359" s="69" t="s">
        <v>697</v>
      </c>
      <c r="D359" s="71" t="s">
        <v>696</v>
      </c>
      <c r="E359" s="70">
        <v>99</v>
      </c>
      <c r="F359" s="70">
        <v>1203</v>
      </c>
      <c r="G359" s="66">
        <v>4230</v>
      </c>
      <c r="I359" s="59" t="s">
        <v>460</v>
      </c>
      <c r="J359" s="115">
        <f>SUM(E554:E555)/3.2808^2</f>
        <v>18.766870487515281</v>
      </c>
      <c r="K359" s="115">
        <f>SUM(F554:F555)/3.2808^3</f>
        <v>99.282485932597595</v>
      </c>
      <c r="L359" s="52"/>
      <c r="M359" s="128">
        <v>4.1529999999999996</v>
      </c>
      <c r="N359" s="52"/>
    </row>
    <row r="360" spans="1:14" s="53" customFormat="1">
      <c r="A360" s="69" t="s">
        <v>386</v>
      </c>
      <c r="B360" s="69" t="s">
        <v>743</v>
      </c>
      <c r="C360" s="69" t="s">
        <v>697</v>
      </c>
      <c r="D360" s="71" t="s">
        <v>696</v>
      </c>
      <c r="E360" s="70">
        <v>15</v>
      </c>
      <c r="F360" s="70">
        <v>222</v>
      </c>
      <c r="G360" s="66">
        <v>4230</v>
      </c>
      <c r="M360" s="52"/>
      <c r="N360" s="52"/>
    </row>
    <row r="361" spans="1:14" s="53" customFormat="1">
      <c r="A361" s="69" t="s">
        <v>443</v>
      </c>
      <c r="B361" s="69" t="s">
        <v>742</v>
      </c>
      <c r="C361" s="69" t="s">
        <v>697</v>
      </c>
      <c r="D361" s="71" t="s">
        <v>696</v>
      </c>
      <c r="E361" s="70">
        <v>91</v>
      </c>
      <c r="F361" s="70">
        <v>741</v>
      </c>
      <c r="G361" s="66">
        <v>4220</v>
      </c>
      <c r="M361" s="8">
        <v>4.17</v>
      </c>
      <c r="N361" s="52"/>
    </row>
    <row r="362" spans="1:14" s="53" customFormat="1">
      <c r="A362" s="69" t="s">
        <v>443</v>
      </c>
      <c r="B362" s="69" t="s">
        <v>741</v>
      </c>
      <c r="C362" s="69" t="s">
        <v>697</v>
      </c>
      <c r="D362" s="71" t="s">
        <v>696</v>
      </c>
      <c r="E362" s="70">
        <v>120</v>
      </c>
      <c r="F362" s="70">
        <v>980</v>
      </c>
      <c r="G362" s="66">
        <v>4220</v>
      </c>
      <c r="I362" s="52"/>
      <c r="J362" s="52"/>
      <c r="K362" s="52"/>
      <c r="M362" s="7">
        <v>4.2</v>
      </c>
      <c r="N362" s="52"/>
    </row>
    <row r="363" spans="1:14">
      <c r="A363" s="69" t="s">
        <v>443</v>
      </c>
      <c r="B363" s="69" t="s">
        <v>740</v>
      </c>
      <c r="C363" s="69" t="s">
        <v>697</v>
      </c>
      <c r="D363" s="71" t="s">
        <v>696</v>
      </c>
      <c r="E363" s="70">
        <v>114</v>
      </c>
      <c r="F363" s="70">
        <v>935</v>
      </c>
      <c r="G363" s="66">
        <v>4220</v>
      </c>
      <c r="L363" s="53"/>
      <c r="M363" s="8">
        <v>4.21</v>
      </c>
    </row>
    <row r="364" spans="1:14">
      <c r="A364" s="69" t="s">
        <v>443</v>
      </c>
      <c r="B364" s="69" t="s">
        <v>739</v>
      </c>
      <c r="C364" s="69" t="s">
        <v>697</v>
      </c>
      <c r="D364" s="71" t="s">
        <v>696</v>
      </c>
      <c r="E364" s="70">
        <v>92</v>
      </c>
      <c r="F364" s="70">
        <v>169</v>
      </c>
      <c r="G364" s="66">
        <v>4220</v>
      </c>
      <c r="I364" s="130">
        <v>4.2100200000000001</v>
      </c>
      <c r="J364" s="126">
        <f>SUM(E559:E560)/3.2808^2</f>
        <v>0</v>
      </c>
      <c r="K364" s="126">
        <f>SUM(F559:F560)/3.2808^3</f>
        <v>9.996211504337408</v>
      </c>
      <c r="L364" s="53"/>
      <c r="M364" s="9">
        <v>4.2100099999999996</v>
      </c>
    </row>
    <row r="365" spans="1:14">
      <c r="A365" s="69" t="s">
        <v>443</v>
      </c>
      <c r="B365" s="69" t="s">
        <v>738</v>
      </c>
      <c r="C365" s="69" t="s">
        <v>697</v>
      </c>
      <c r="D365" s="71" t="s">
        <v>696</v>
      </c>
      <c r="E365" s="70">
        <v>92</v>
      </c>
      <c r="F365" s="70">
        <v>169</v>
      </c>
      <c r="G365" s="66">
        <v>4220</v>
      </c>
      <c r="I365" s="53"/>
      <c r="J365" s="53"/>
      <c r="K365" s="53"/>
      <c r="L365" s="53"/>
    </row>
    <row r="366" spans="1:14">
      <c r="A366" s="69" t="s">
        <v>443</v>
      </c>
      <c r="B366" s="69" t="s">
        <v>737</v>
      </c>
      <c r="C366" s="69" t="s">
        <v>697</v>
      </c>
      <c r="D366" s="71" t="s">
        <v>696</v>
      </c>
      <c r="E366" s="70">
        <v>54</v>
      </c>
      <c r="F366" s="70">
        <v>441</v>
      </c>
      <c r="G366" s="66">
        <v>4220</v>
      </c>
      <c r="I366" s="53"/>
      <c r="J366" s="53"/>
      <c r="K366" s="53"/>
      <c r="L366" s="53"/>
      <c r="M366" s="8">
        <v>4.22</v>
      </c>
    </row>
    <row r="367" spans="1:14">
      <c r="A367" s="69" t="s">
        <v>443</v>
      </c>
      <c r="B367" s="69" t="s">
        <v>736</v>
      </c>
      <c r="C367" s="69" t="s">
        <v>697</v>
      </c>
      <c r="D367" s="71" t="s">
        <v>696</v>
      </c>
      <c r="E367" s="70">
        <v>51</v>
      </c>
      <c r="F367" s="70">
        <v>419</v>
      </c>
      <c r="G367" s="66">
        <v>4220</v>
      </c>
      <c r="I367" s="53"/>
      <c r="J367" s="53"/>
      <c r="K367" s="53"/>
      <c r="L367" s="53"/>
      <c r="M367" s="8">
        <v>4.2300000000000004</v>
      </c>
    </row>
    <row r="368" spans="1:14">
      <c r="A368" s="69" t="s">
        <v>374</v>
      </c>
      <c r="B368" s="69" t="s">
        <v>735</v>
      </c>
      <c r="C368" s="69" t="s">
        <v>697</v>
      </c>
      <c r="D368" s="71" t="s">
        <v>696</v>
      </c>
      <c r="E368" s="70">
        <v>60</v>
      </c>
      <c r="F368" s="70">
        <v>464</v>
      </c>
      <c r="G368" s="66">
        <v>4110</v>
      </c>
      <c r="I368" s="53"/>
      <c r="J368" s="53"/>
      <c r="K368" s="53"/>
      <c r="L368" s="53"/>
      <c r="M368" s="8">
        <v>4.24</v>
      </c>
    </row>
    <row r="369" spans="1:14">
      <c r="A369" s="69" t="s">
        <v>374</v>
      </c>
      <c r="B369" s="69" t="s">
        <v>734</v>
      </c>
      <c r="C369" s="69" t="s">
        <v>697</v>
      </c>
      <c r="D369" s="71" t="s">
        <v>696</v>
      </c>
      <c r="E369" s="70">
        <v>597</v>
      </c>
      <c r="F369" s="70">
        <v>5970</v>
      </c>
      <c r="G369" s="66">
        <v>4110</v>
      </c>
      <c r="L369" s="53"/>
      <c r="M369" s="7">
        <v>4.3</v>
      </c>
    </row>
    <row r="370" spans="1:14">
      <c r="A370" s="69" t="s">
        <v>374</v>
      </c>
      <c r="B370" s="69" t="s">
        <v>733</v>
      </c>
      <c r="C370" s="69" t="s">
        <v>697</v>
      </c>
      <c r="D370" s="71" t="s">
        <v>696</v>
      </c>
      <c r="E370" s="70">
        <v>50</v>
      </c>
      <c r="F370" s="70">
        <v>443</v>
      </c>
      <c r="G370" s="66">
        <v>4110</v>
      </c>
      <c r="I370" s="59" t="s">
        <v>448</v>
      </c>
      <c r="J370" s="126">
        <f>SUM(E564:E566)/3.2808^2</f>
        <v>0</v>
      </c>
      <c r="K370" s="126">
        <f>SUM(F564:F566)/3.2808^3</f>
        <v>1567.7344512836473</v>
      </c>
      <c r="L370" s="53"/>
      <c r="M370" s="8">
        <v>4.3099999999999996</v>
      </c>
    </row>
    <row r="371" spans="1:14">
      <c r="A371" s="69" t="s">
        <v>374</v>
      </c>
      <c r="B371" s="69" t="s">
        <v>732</v>
      </c>
      <c r="C371" s="69" t="s">
        <v>697</v>
      </c>
      <c r="D371" s="71" t="s">
        <v>696</v>
      </c>
      <c r="E371" s="70">
        <v>597</v>
      </c>
      <c r="F371" s="70">
        <v>5970</v>
      </c>
      <c r="G371" s="66">
        <v>4110</v>
      </c>
      <c r="I371" s="53"/>
      <c r="J371" s="53"/>
      <c r="K371" s="53"/>
      <c r="L371" s="53"/>
    </row>
    <row r="372" spans="1:14">
      <c r="A372" s="69" t="s">
        <v>374</v>
      </c>
      <c r="B372" s="69" t="s">
        <v>731</v>
      </c>
      <c r="C372" s="69" t="s">
        <v>697</v>
      </c>
      <c r="D372" s="71" t="s">
        <v>696</v>
      </c>
      <c r="E372" s="70">
        <v>280</v>
      </c>
      <c r="F372" s="70">
        <v>2384</v>
      </c>
      <c r="G372" s="66">
        <v>4110</v>
      </c>
      <c r="I372" s="59" t="s">
        <v>444</v>
      </c>
      <c r="J372" s="126">
        <f>SUM(E566)/3.2808^2</f>
        <v>0</v>
      </c>
      <c r="K372" s="126">
        <f>SUM(F566)/3.2808^3</f>
        <v>340.04109842516596</v>
      </c>
      <c r="L372" s="53"/>
      <c r="M372" s="8">
        <v>4.32</v>
      </c>
    </row>
    <row r="373" spans="1:14">
      <c r="A373" s="69" t="s">
        <v>374</v>
      </c>
      <c r="B373" s="69" t="s">
        <v>730</v>
      </c>
      <c r="C373" s="69" t="s">
        <v>697</v>
      </c>
      <c r="D373" s="71" t="s">
        <v>696</v>
      </c>
      <c r="E373" s="70">
        <v>128</v>
      </c>
      <c r="F373" s="70">
        <v>1088</v>
      </c>
      <c r="G373" s="66">
        <v>4210</v>
      </c>
      <c r="I373" s="59" t="s">
        <v>440</v>
      </c>
      <c r="J373" s="126">
        <f>SUM(E567)/3.2808^2</f>
        <v>1.6722953899766091</v>
      </c>
      <c r="K373" s="126">
        <f>SUM(F567)/3.2808^3</f>
        <v>4.1627283035059461</v>
      </c>
      <c r="L373" s="53"/>
    </row>
    <row r="374" spans="1:14">
      <c r="A374" s="69" t="s">
        <v>374</v>
      </c>
      <c r="B374" s="69" t="s">
        <v>729</v>
      </c>
      <c r="C374" s="69" t="s">
        <v>697</v>
      </c>
      <c r="D374" s="71" t="s">
        <v>696</v>
      </c>
      <c r="E374" s="70">
        <v>77</v>
      </c>
      <c r="F374" s="70">
        <v>655</v>
      </c>
      <c r="G374" s="66">
        <v>4210</v>
      </c>
      <c r="L374" s="53"/>
    </row>
    <row r="375" spans="1:14">
      <c r="A375" s="69" t="s">
        <v>374</v>
      </c>
      <c r="B375" s="69" t="s">
        <v>728</v>
      </c>
      <c r="C375" s="69" t="s">
        <v>697</v>
      </c>
      <c r="D375" s="71" t="s">
        <v>696</v>
      </c>
      <c r="E375" s="70">
        <v>49</v>
      </c>
      <c r="F375" s="70">
        <v>449</v>
      </c>
      <c r="G375" s="66">
        <v>4210</v>
      </c>
      <c r="L375" s="53"/>
      <c r="M375" s="9">
        <v>4.3209999999999997</v>
      </c>
    </row>
    <row r="376" spans="1:14">
      <c r="A376" s="69" t="s">
        <v>374</v>
      </c>
      <c r="B376" s="69" t="s">
        <v>727</v>
      </c>
      <c r="C376" s="69" t="s">
        <v>697</v>
      </c>
      <c r="D376" s="71" t="s">
        <v>696</v>
      </c>
      <c r="E376" s="70">
        <v>68</v>
      </c>
      <c r="F376" s="70">
        <v>714</v>
      </c>
      <c r="G376" s="66">
        <v>4410</v>
      </c>
      <c r="L376" s="53"/>
      <c r="M376" s="9">
        <v>4.3220000000000001</v>
      </c>
    </row>
    <row r="377" spans="1:14">
      <c r="A377" s="69" t="s">
        <v>374</v>
      </c>
      <c r="B377" s="69" t="s">
        <v>726</v>
      </c>
      <c r="C377" s="69" t="s">
        <v>697</v>
      </c>
      <c r="D377" s="71" t="s">
        <v>696</v>
      </c>
      <c r="E377" s="70">
        <v>426</v>
      </c>
      <c r="F377" s="70">
        <v>4300</v>
      </c>
      <c r="G377" s="66">
        <v>4710</v>
      </c>
      <c r="M377" s="8">
        <v>4.33</v>
      </c>
    </row>
    <row r="378" spans="1:14">
      <c r="A378" s="69" t="s">
        <v>374</v>
      </c>
      <c r="B378" s="69" t="s">
        <v>725</v>
      </c>
      <c r="C378" s="69" t="s">
        <v>697</v>
      </c>
      <c r="D378" s="71" t="s">
        <v>696</v>
      </c>
      <c r="E378" s="70">
        <v>133</v>
      </c>
      <c r="F378" s="70">
        <v>1250</v>
      </c>
      <c r="G378" s="66">
        <v>4610</v>
      </c>
      <c r="M378" s="9">
        <v>4.3310000000000004</v>
      </c>
    </row>
    <row r="379" spans="1:14" s="53" customFormat="1">
      <c r="A379" s="69" t="s">
        <v>374</v>
      </c>
      <c r="B379" s="69" t="s">
        <v>724</v>
      </c>
      <c r="C379" s="69" t="s">
        <v>697</v>
      </c>
      <c r="D379" s="71" t="s">
        <v>696</v>
      </c>
      <c r="E379" s="70">
        <v>141</v>
      </c>
      <c r="F379" s="70">
        <v>1455</v>
      </c>
      <c r="G379" s="66">
        <v>3250</v>
      </c>
      <c r="L379" s="52"/>
      <c r="M379" s="10">
        <v>4.3311000000000002</v>
      </c>
      <c r="N379" s="52"/>
    </row>
    <row r="380" spans="1:14" s="53" customFormat="1">
      <c r="A380" s="69" t="s">
        <v>397</v>
      </c>
      <c r="B380" s="69" t="s">
        <v>723</v>
      </c>
      <c r="C380" s="69" t="s">
        <v>697</v>
      </c>
      <c r="D380" s="71" t="s">
        <v>696</v>
      </c>
      <c r="E380" s="70">
        <v>587</v>
      </c>
      <c r="F380" s="70">
        <v>9227</v>
      </c>
      <c r="G380" s="66">
        <v>1350</v>
      </c>
      <c r="L380" s="52"/>
      <c r="M380" s="10">
        <v>4.3312999999999997</v>
      </c>
      <c r="N380" s="52"/>
    </row>
    <row r="381" spans="1:14" s="53" customFormat="1">
      <c r="A381" s="69" t="s">
        <v>397</v>
      </c>
      <c r="B381" s="69" t="s">
        <v>722</v>
      </c>
      <c r="C381" s="69" t="s">
        <v>697</v>
      </c>
      <c r="D381" s="71" t="s">
        <v>696</v>
      </c>
      <c r="E381" s="70">
        <v>709</v>
      </c>
      <c r="F381" s="70">
        <v>7158</v>
      </c>
      <c r="G381" s="66">
        <v>1450</v>
      </c>
      <c r="I381" s="59" t="s">
        <v>435</v>
      </c>
      <c r="J381" s="126">
        <f>SUM(E568:E569)/3.2808^2</f>
        <v>74.231334255072809</v>
      </c>
      <c r="K381" s="126">
        <f>SUM(F568:F569)/3.2808^3</f>
        <v>171.77625774875557</v>
      </c>
      <c r="L381" s="52"/>
      <c r="M381" s="10">
        <v>4.3314000000000004</v>
      </c>
      <c r="N381" s="52"/>
    </row>
    <row r="382" spans="1:14">
      <c r="A382" s="69" t="s">
        <v>397</v>
      </c>
      <c r="B382" s="69" t="s">
        <v>721</v>
      </c>
      <c r="C382" s="69" t="s">
        <v>697</v>
      </c>
      <c r="D382" s="71" t="s">
        <v>696</v>
      </c>
      <c r="E382" s="70">
        <v>126</v>
      </c>
      <c r="F382" s="70">
        <v>1635</v>
      </c>
      <c r="G382" s="66">
        <v>2150</v>
      </c>
      <c r="I382" s="59">
        <v>4.3315010000000003</v>
      </c>
      <c r="J382" s="126">
        <f>SUM(E570:E571)/3.2808^2</f>
        <v>6.9678974582358713</v>
      </c>
      <c r="K382" s="126">
        <f>SUM(F570:F571)/3.2808^3</f>
        <v>15.914648344015928</v>
      </c>
      <c r="M382" s="53"/>
    </row>
    <row r="383" spans="1:14">
      <c r="A383" s="69" t="s">
        <v>397</v>
      </c>
      <c r="B383" s="69" t="s">
        <v>720</v>
      </c>
      <c r="C383" s="69" t="s">
        <v>697</v>
      </c>
      <c r="D383" s="71" t="s">
        <v>696</v>
      </c>
      <c r="E383" s="70">
        <v>126</v>
      </c>
      <c r="F383" s="70">
        <v>1635</v>
      </c>
      <c r="G383" s="66">
        <v>2150</v>
      </c>
      <c r="I383" s="53"/>
      <c r="J383" s="53"/>
      <c r="K383" s="53"/>
      <c r="M383" s="53"/>
    </row>
    <row r="384" spans="1:14">
      <c r="A384" s="69" t="s">
        <v>397</v>
      </c>
      <c r="B384" s="69" t="s">
        <v>719</v>
      </c>
      <c r="C384" s="69" t="s">
        <v>697</v>
      </c>
      <c r="D384" s="71" t="s">
        <v>696</v>
      </c>
      <c r="E384" s="70">
        <v>132</v>
      </c>
      <c r="F384" s="70">
        <v>1391</v>
      </c>
      <c r="G384" s="66">
        <v>2150</v>
      </c>
      <c r="I384" s="59" t="s">
        <v>424</v>
      </c>
      <c r="J384" s="126">
        <f>SUM(E572:E574)/3.2808^2</f>
        <v>2.8800642827374934</v>
      </c>
      <c r="K384" s="126">
        <f>SUM(F572:F574)/3.2808^3</f>
        <v>11.69528428127861</v>
      </c>
      <c r="M384" s="9">
        <v>4.3319999999999999</v>
      </c>
    </row>
    <row r="385" spans="1:14">
      <c r="A385" s="69" t="s">
        <v>397</v>
      </c>
      <c r="B385" s="69" t="s">
        <v>718</v>
      </c>
      <c r="C385" s="69" t="s">
        <v>697</v>
      </c>
      <c r="D385" s="71" t="s">
        <v>696</v>
      </c>
      <c r="E385" s="70">
        <v>131</v>
      </c>
      <c r="F385" s="70">
        <v>1386</v>
      </c>
      <c r="G385" s="66">
        <v>2150</v>
      </c>
      <c r="I385" s="59" t="s">
        <v>421</v>
      </c>
      <c r="J385" s="126">
        <f>SUM(E575)/3.2808^2</f>
        <v>11.148635933177394</v>
      </c>
      <c r="K385" s="126">
        <f>SUM(F575)/3.2808^3</f>
        <v>41.259150600055534</v>
      </c>
      <c r="M385" s="53"/>
    </row>
    <row r="386" spans="1:14">
      <c r="A386" s="69" t="s">
        <v>397</v>
      </c>
      <c r="B386" s="69" t="s">
        <v>717</v>
      </c>
      <c r="C386" s="69" t="s">
        <v>697</v>
      </c>
      <c r="D386" s="71" t="s">
        <v>696</v>
      </c>
      <c r="E386" s="70">
        <v>777</v>
      </c>
      <c r="F386" s="70">
        <v>8038</v>
      </c>
      <c r="G386" s="66">
        <v>2250</v>
      </c>
      <c r="I386" s="59" t="s">
        <v>414</v>
      </c>
      <c r="J386" s="126">
        <f>SUM(E576:E579)/3.2808^2</f>
        <v>65.126614909644616</v>
      </c>
      <c r="K386" s="126">
        <f>SUM(F576:F579)/3.2808^3</f>
        <v>191.9385880351245</v>
      </c>
      <c r="M386" s="53"/>
    </row>
    <row r="387" spans="1:14">
      <c r="A387" s="69" t="s">
        <v>397</v>
      </c>
      <c r="B387" s="69" t="s">
        <v>716</v>
      </c>
      <c r="C387" s="69" t="s">
        <v>697</v>
      </c>
      <c r="D387" s="71" t="s">
        <v>696</v>
      </c>
      <c r="E387" s="70">
        <v>158</v>
      </c>
      <c r="F387" s="70">
        <v>1646</v>
      </c>
      <c r="G387" s="66">
        <v>2350</v>
      </c>
      <c r="I387" s="59" t="s">
        <v>409</v>
      </c>
      <c r="J387" s="126">
        <f>SUM(E580)/3.2808^2</f>
        <v>16.444238001436656</v>
      </c>
      <c r="K387" s="126">
        <f>SUM(F580)/3.2808^3</f>
        <v>45.846647097796776</v>
      </c>
      <c r="M387" s="53"/>
    </row>
    <row r="388" spans="1:14">
      <c r="A388" s="69" t="s">
        <v>397</v>
      </c>
      <c r="B388" s="69" t="s">
        <v>715</v>
      </c>
      <c r="C388" s="69" t="s">
        <v>697</v>
      </c>
      <c r="D388" s="71" t="s">
        <v>696</v>
      </c>
      <c r="E388" s="70">
        <v>138</v>
      </c>
      <c r="F388" s="70">
        <v>1508</v>
      </c>
      <c r="G388" s="66">
        <v>2350</v>
      </c>
      <c r="M388" s="53"/>
    </row>
    <row r="389" spans="1:14">
      <c r="A389" s="69" t="s">
        <v>397</v>
      </c>
      <c r="B389" s="69" t="s">
        <v>714</v>
      </c>
      <c r="C389" s="69" t="s">
        <v>697</v>
      </c>
      <c r="D389" s="71" t="s">
        <v>696</v>
      </c>
      <c r="E389" s="70">
        <v>377</v>
      </c>
      <c r="F389" s="70">
        <v>3682</v>
      </c>
      <c r="G389" s="66">
        <v>2450</v>
      </c>
      <c r="I389" s="59" t="s">
        <v>406</v>
      </c>
      <c r="J389" s="126">
        <f>SUM(E581)/3.2808^2</f>
        <v>8.8260034470987705</v>
      </c>
      <c r="K389" s="126">
        <f>SUM(F581)/3.2808^3</f>
        <v>24.551601626800373</v>
      </c>
      <c r="M389" s="9">
        <v>4.3339999999999996</v>
      </c>
    </row>
    <row r="390" spans="1:14" s="53" customFormat="1">
      <c r="A390" s="69" t="s">
        <v>397</v>
      </c>
      <c r="B390" s="69" t="s">
        <v>713</v>
      </c>
      <c r="C390" s="69" t="s">
        <v>697</v>
      </c>
      <c r="D390" s="71" t="s">
        <v>696</v>
      </c>
      <c r="E390" s="70">
        <v>320</v>
      </c>
      <c r="F390" s="70">
        <v>3081</v>
      </c>
      <c r="G390" s="66">
        <v>2450</v>
      </c>
      <c r="I390" s="52"/>
      <c r="J390" s="52"/>
      <c r="K390" s="52"/>
      <c r="L390" s="52"/>
      <c r="N390" s="52"/>
    </row>
    <row r="391" spans="1:14" s="53" customFormat="1">
      <c r="A391" s="69" t="s">
        <v>397</v>
      </c>
      <c r="B391" s="69" t="s">
        <v>712</v>
      </c>
      <c r="C391" s="69" t="s">
        <v>697</v>
      </c>
      <c r="D391" s="71" t="s">
        <v>696</v>
      </c>
      <c r="E391" s="70">
        <v>661</v>
      </c>
      <c r="F391" s="70">
        <v>4239</v>
      </c>
      <c r="G391" s="66">
        <v>3150</v>
      </c>
      <c r="I391" s="52"/>
      <c r="J391" s="52"/>
      <c r="K391" s="52"/>
      <c r="L391" s="52"/>
      <c r="M391" s="8">
        <v>4.34</v>
      </c>
      <c r="N391" s="52"/>
    </row>
    <row r="392" spans="1:14" s="53" customFormat="1">
      <c r="A392" s="69" t="s">
        <v>397</v>
      </c>
      <c r="B392" s="69" t="s">
        <v>711</v>
      </c>
      <c r="C392" s="69" t="s">
        <v>697</v>
      </c>
      <c r="D392" s="71" t="s">
        <v>696</v>
      </c>
      <c r="E392" s="70">
        <v>75</v>
      </c>
      <c r="F392" s="70">
        <v>823</v>
      </c>
      <c r="G392" s="66">
        <v>3250</v>
      </c>
      <c r="I392" s="52"/>
      <c r="J392" s="52"/>
      <c r="K392" s="52"/>
      <c r="L392" s="52"/>
      <c r="M392" s="9">
        <v>4.3410000000000002</v>
      </c>
      <c r="N392" s="52"/>
    </row>
    <row r="393" spans="1:14" s="53" customFormat="1">
      <c r="A393" s="69" t="s">
        <v>383</v>
      </c>
      <c r="B393" s="69" t="s">
        <v>710</v>
      </c>
      <c r="C393" s="69" t="s">
        <v>697</v>
      </c>
      <c r="D393" s="71" t="s">
        <v>696</v>
      </c>
      <c r="E393" s="70">
        <v>67</v>
      </c>
      <c r="F393" s="70">
        <v>680</v>
      </c>
      <c r="G393" s="66">
        <v>1340</v>
      </c>
      <c r="I393" s="59" t="s">
        <v>403</v>
      </c>
      <c r="J393" s="126">
        <f>SUM(E582)/3.2808^2</f>
        <v>26.756726239625745</v>
      </c>
      <c r="K393" s="126">
        <f>SUM(F582)/3.2808^3</f>
        <v>77.364447110056076</v>
      </c>
      <c r="M393" s="9">
        <v>4.3419999999999996</v>
      </c>
      <c r="N393" s="52"/>
    </row>
    <row r="394" spans="1:14" s="53" customFormat="1">
      <c r="A394" s="69" t="s">
        <v>383</v>
      </c>
      <c r="B394" s="69" t="s">
        <v>709</v>
      </c>
      <c r="C394" s="69" t="s">
        <v>697</v>
      </c>
      <c r="D394" s="71" t="s">
        <v>696</v>
      </c>
      <c r="E394" s="70">
        <v>121</v>
      </c>
      <c r="F394" s="70">
        <v>1163</v>
      </c>
      <c r="G394" s="66">
        <v>3240</v>
      </c>
      <c r="I394" s="52"/>
      <c r="J394" s="52"/>
      <c r="K394" s="52"/>
      <c r="M394" s="52"/>
      <c r="N394" s="52"/>
    </row>
    <row r="395" spans="1:14" s="53" customFormat="1">
      <c r="A395" s="69" t="s">
        <v>383</v>
      </c>
      <c r="B395" s="69" t="s">
        <v>708</v>
      </c>
      <c r="C395" s="69" t="s">
        <v>697</v>
      </c>
      <c r="D395" s="71" t="s">
        <v>696</v>
      </c>
      <c r="E395" s="70">
        <v>169</v>
      </c>
      <c r="F395" s="70">
        <v>1547</v>
      </c>
      <c r="G395" s="66">
        <v>3240</v>
      </c>
      <c r="I395" s="52"/>
      <c r="J395" s="52"/>
      <c r="K395" s="52"/>
      <c r="M395" s="8">
        <v>4.3499999999999996</v>
      </c>
      <c r="N395" s="52"/>
    </row>
    <row r="396" spans="1:14">
      <c r="A396" s="81" t="s">
        <v>383</v>
      </c>
      <c r="B396" s="81" t="s">
        <v>707</v>
      </c>
      <c r="C396" s="81" t="s">
        <v>697</v>
      </c>
      <c r="D396" s="80" t="s">
        <v>696</v>
      </c>
      <c r="E396" s="79">
        <v>244</v>
      </c>
      <c r="F396" s="79">
        <v>2277</v>
      </c>
      <c r="G396" s="78">
        <v>3340</v>
      </c>
      <c r="I396" s="59" t="s">
        <v>371</v>
      </c>
      <c r="J396" s="126">
        <f>SUM(E583:E600)/3.2808^2</f>
        <v>307.79525705513919</v>
      </c>
      <c r="K396" s="126">
        <f>SUM(F583:F600)/3.2808^3</f>
        <v>861.91130186265627</v>
      </c>
      <c r="M396" s="8">
        <v>4.3600000000000003</v>
      </c>
    </row>
    <row r="397" spans="1:14">
      <c r="A397" s="69" t="s">
        <v>383</v>
      </c>
      <c r="B397" s="69" t="s">
        <v>706</v>
      </c>
      <c r="C397" s="69" t="s">
        <v>697</v>
      </c>
      <c r="D397" s="71" t="s">
        <v>696</v>
      </c>
      <c r="E397" s="70">
        <v>206</v>
      </c>
      <c r="F397" s="70">
        <v>1925</v>
      </c>
      <c r="G397" s="66">
        <v>3340</v>
      </c>
      <c r="I397" s="53"/>
      <c r="J397" s="53"/>
      <c r="K397" s="53"/>
    </row>
    <row r="398" spans="1:14">
      <c r="A398" s="77" t="s">
        <v>383</v>
      </c>
      <c r="B398" s="77" t="s">
        <v>705</v>
      </c>
      <c r="C398" s="77" t="s">
        <v>697</v>
      </c>
      <c r="D398" s="76" t="s">
        <v>696</v>
      </c>
      <c r="E398" s="75">
        <v>508</v>
      </c>
      <c r="F398" s="75">
        <v>4658</v>
      </c>
      <c r="G398" s="74">
        <v>3440</v>
      </c>
      <c r="I398" s="53"/>
      <c r="J398" s="53"/>
      <c r="K398" s="53"/>
    </row>
    <row r="399" spans="1:14">
      <c r="A399" s="69" t="s">
        <v>383</v>
      </c>
      <c r="B399" s="69" t="s">
        <v>704</v>
      </c>
      <c r="C399" s="69" t="s">
        <v>697</v>
      </c>
      <c r="D399" s="71" t="s">
        <v>696</v>
      </c>
      <c r="E399" s="70">
        <v>36</v>
      </c>
      <c r="F399" s="70">
        <v>327</v>
      </c>
      <c r="G399" s="66">
        <v>3540</v>
      </c>
      <c r="I399" s="53"/>
      <c r="J399" s="53"/>
      <c r="K399" s="53"/>
      <c r="M399" s="32"/>
    </row>
    <row r="400" spans="1:14">
      <c r="A400" s="69" t="s">
        <v>383</v>
      </c>
      <c r="B400" s="69" t="s">
        <v>703</v>
      </c>
      <c r="C400" s="69" t="s">
        <v>697</v>
      </c>
      <c r="D400" s="71" t="s">
        <v>696</v>
      </c>
      <c r="E400" s="70">
        <v>95</v>
      </c>
      <c r="F400" s="70">
        <v>1021</v>
      </c>
      <c r="G400" s="66">
        <v>3540</v>
      </c>
    </row>
    <row r="401" spans="1:14">
      <c r="A401" s="69" t="s">
        <v>393</v>
      </c>
      <c r="B401" s="69" t="s">
        <v>702</v>
      </c>
      <c r="C401" s="69" t="s">
        <v>697</v>
      </c>
      <c r="D401" s="71" t="s">
        <v>696</v>
      </c>
      <c r="E401" s="70">
        <v>74</v>
      </c>
      <c r="F401" s="70">
        <v>637</v>
      </c>
      <c r="G401" s="66">
        <v>3230</v>
      </c>
    </row>
    <row r="402" spans="1:14">
      <c r="A402" s="69" t="s">
        <v>393</v>
      </c>
      <c r="B402" s="69" t="s">
        <v>701</v>
      </c>
      <c r="C402" s="69" t="s">
        <v>697</v>
      </c>
      <c r="D402" s="71" t="s">
        <v>696</v>
      </c>
      <c r="E402" s="70">
        <v>106</v>
      </c>
      <c r="F402" s="70">
        <v>915</v>
      </c>
      <c r="G402" s="66">
        <v>3230</v>
      </c>
    </row>
    <row r="403" spans="1:14">
      <c r="A403" s="69" t="s">
        <v>451</v>
      </c>
      <c r="B403" s="69" t="s">
        <v>700</v>
      </c>
      <c r="C403" s="69" t="s">
        <v>697</v>
      </c>
      <c r="D403" s="71" t="s">
        <v>696</v>
      </c>
      <c r="E403" s="70">
        <v>123</v>
      </c>
      <c r="F403" s="70">
        <v>1234</v>
      </c>
      <c r="G403" s="66">
        <v>1220</v>
      </c>
    </row>
    <row r="404" spans="1:14">
      <c r="A404" s="69" t="s">
        <v>451</v>
      </c>
      <c r="B404" s="69" t="s">
        <v>699</v>
      </c>
      <c r="C404" s="69" t="s">
        <v>697</v>
      </c>
      <c r="D404" s="71" t="s">
        <v>696</v>
      </c>
      <c r="E404" s="70">
        <v>89</v>
      </c>
      <c r="F404" s="70">
        <v>807</v>
      </c>
      <c r="G404" s="66">
        <v>1420</v>
      </c>
      <c r="L404" s="53"/>
    </row>
    <row r="405" spans="1:14">
      <c r="A405" s="69" t="s">
        <v>451</v>
      </c>
      <c r="B405" s="69" t="s">
        <v>698</v>
      </c>
      <c r="C405" s="69" t="s">
        <v>697</v>
      </c>
      <c r="D405" s="71" t="s">
        <v>696</v>
      </c>
      <c r="E405" s="70">
        <v>58</v>
      </c>
      <c r="F405" s="70">
        <v>433</v>
      </c>
      <c r="G405" s="66">
        <v>3420</v>
      </c>
      <c r="L405" s="53"/>
    </row>
    <row r="406" spans="1:14">
      <c r="A406" s="69" t="s">
        <v>374</v>
      </c>
      <c r="B406" s="69" t="s">
        <v>695</v>
      </c>
      <c r="C406" s="69" t="s">
        <v>673</v>
      </c>
      <c r="D406" s="71" t="s">
        <v>670</v>
      </c>
      <c r="E406" s="70">
        <v>46</v>
      </c>
      <c r="F406" s="70">
        <v>747</v>
      </c>
      <c r="G406" s="66">
        <v>4610</v>
      </c>
      <c r="L406" s="53"/>
    </row>
    <row r="407" spans="1:14">
      <c r="A407" s="69" t="s">
        <v>397</v>
      </c>
      <c r="B407" s="69" t="s">
        <v>694</v>
      </c>
      <c r="C407" s="69" t="s">
        <v>673</v>
      </c>
      <c r="D407" s="71" t="s">
        <v>670</v>
      </c>
      <c r="E407" s="70">
        <v>36</v>
      </c>
      <c r="F407" s="70">
        <v>326</v>
      </c>
      <c r="G407" s="66">
        <v>2450</v>
      </c>
      <c r="L407" s="53"/>
    </row>
    <row r="408" spans="1:14">
      <c r="A408" s="69" t="s">
        <v>397</v>
      </c>
      <c r="B408" s="69" t="s">
        <v>693</v>
      </c>
      <c r="C408" s="69" t="s">
        <v>673</v>
      </c>
      <c r="D408" s="71" t="s">
        <v>670</v>
      </c>
      <c r="E408" s="70">
        <v>16</v>
      </c>
      <c r="F408" s="70">
        <v>148</v>
      </c>
      <c r="G408" s="66">
        <v>3150</v>
      </c>
      <c r="I408" s="53"/>
      <c r="J408" s="53"/>
      <c r="K408" s="53"/>
      <c r="L408" s="53"/>
    </row>
    <row r="409" spans="1:14">
      <c r="A409" s="69" t="s">
        <v>397</v>
      </c>
      <c r="B409" s="69" t="s">
        <v>692</v>
      </c>
      <c r="C409" s="69" t="s">
        <v>673</v>
      </c>
      <c r="D409" s="71" t="s">
        <v>670</v>
      </c>
      <c r="E409" s="70">
        <v>40</v>
      </c>
      <c r="F409" s="70">
        <v>360</v>
      </c>
      <c r="G409" s="66">
        <v>3250</v>
      </c>
    </row>
    <row r="410" spans="1:14">
      <c r="A410" s="69" t="s">
        <v>397</v>
      </c>
      <c r="B410" s="69" t="s">
        <v>691</v>
      </c>
      <c r="C410" s="69" t="s">
        <v>673</v>
      </c>
      <c r="D410" s="71" t="s">
        <v>670</v>
      </c>
      <c r="E410" s="70">
        <v>26</v>
      </c>
      <c r="F410" s="70">
        <v>235</v>
      </c>
      <c r="G410" s="66">
        <v>3250</v>
      </c>
    </row>
    <row r="411" spans="1:14">
      <c r="A411" s="69" t="s">
        <v>383</v>
      </c>
      <c r="B411" s="69" t="s">
        <v>690</v>
      </c>
      <c r="C411" s="69" t="s">
        <v>673</v>
      </c>
      <c r="D411" s="71" t="s">
        <v>670</v>
      </c>
      <c r="E411" s="70">
        <v>93</v>
      </c>
      <c r="F411" s="70">
        <v>1049</v>
      </c>
      <c r="G411" s="66">
        <v>1440</v>
      </c>
      <c r="M411" s="53"/>
    </row>
    <row r="412" spans="1:14">
      <c r="A412" s="69" t="s">
        <v>383</v>
      </c>
      <c r="B412" s="69" t="s">
        <v>689</v>
      </c>
      <c r="C412" s="69" t="s">
        <v>673</v>
      </c>
      <c r="D412" s="71" t="s">
        <v>670</v>
      </c>
      <c r="E412" s="70">
        <v>155</v>
      </c>
      <c r="F412" s="70">
        <v>1599</v>
      </c>
      <c r="G412" s="66">
        <v>2240</v>
      </c>
      <c r="M412" s="53"/>
    </row>
    <row r="413" spans="1:14">
      <c r="A413" s="69" t="s">
        <v>383</v>
      </c>
      <c r="B413" s="69" t="s">
        <v>688</v>
      </c>
      <c r="C413" s="69" t="s">
        <v>673</v>
      </c>
      <c r="D413" s="71" t="s">
        <v>670</v>
      </c>
      <c r="E413" s="70">
        <v>36</v>
      </c>
      <c r="F413" s="70">
        <v>324</v>
      </c>
      <c r="G413" s="66">
        <v>2340</v>
      </c>
      <c r="M413" s="53"/>
    </row>
    <row r="414" spans="1:14">
      <c r="A414" s="69" t="s">
        <v>383</v>
      </c>
      <c r="B414" s="69" t="s">
        <v>687</v>
      </c>
      <c r="C414" s="69" t="s">
        <v>673</v>
      </c>
      <c r="D414" s="71" t="s">
        <v>670</v>
      </c>
      <c r="E414" s="70">
        <v>75</v>
      </c>
      <c r="F414" s="70">
        <v>678</v>
      </c>
      <c r="G414" s="66">
        <v>3140</v>
      </c>
      <c r="M414" s="53"/>
    </row>
    <row r="415" spans="1:14">
      <c r="A415" s="69" t="s">
        <v>383</v>
      </c>
      <c r="B415" s="69" t="s">
        <v>686</v>
      </c>
      <c r="C415" s="69" t="s">
        <v>673</v>
      </c>
      <c r="D415" s="71" t="s">
        <v>670</v>
      </c>
      <c r="E415" s="70">
        <v>63</v>
      </c>
      <c r="F415" s="70">
        <v>576</v>
      </c>
      <c r="G415" s="66">
        <v>3140</v>
      </c>
      <c r="M415" s="53"/>
    </row>
    <row r="416" spans="1:14" s="53" customFormat="1">
      <c r="A416" s="69" t="s">
        <v>383</v>
      </c>
      <c r="B416" s="69" t="s">
        <v>685</v>
      </c>
      <c r="C416" s="69" t="s">
        <v>673</v>
      </c>
      <c r="D416" s="71" t="s">
        <v>670</v>
      </c>
      <c r="E416" s="70">
        <v>10</v>
      </c>
      <c r="F416" s="70">
        <v>92</v>
      </c>
      <c r="G416" s="66">
        <v>3540</v>
      </c>
      <c r="I416" s="52"/>
      <c r="J416" s="52"/>
      <c r="K416" s="52"/>
      <c r="L416" s="52"/>
      <c r="N416" s="52"/>
    </row>
    <row r="417" spans="1:14" s="53" customFormat="1">
      <c r="A417" s="69" t="s">
        <v>393</v>
      </c>
      <c r="B417" s="69" t="s">
        <v>684</v>
      </c>
      <c r="C417" s="69" t="s">
        <v>673</v>
      </c>
      <c r="D417" s="71" t="s">
        <v>670</v>
      </c>
      <c r="E417" s="70">
        <v>16</v>
      </c>
      <c r="F417" s="70">
        <v>512</v>
      </c>
      <c r="G417" s="66">
        <v>1230</v>
      </c>
      <c r="I417" s="52"/>
      <c r="J417" s="52"/>
      <c r="K417" s="52"/>
      <c r="L417" s="52"/>
      <c r="N417" s="52"/>
    </row>
    <row r="418" spans="1:14" s="53" customFormat="1">
      <c r="A418" s="69" t="s">
        <v>393</v>
      </c>
      <c r="B418" s="69" t="s">
        <v>683</v>
      </c>
      <c r="C418" s="69" t="s">
        <v>673</v>
      </c>
      <c r="D418" s="71" t="s">
        <v>670</v>
      </c>
      <c r="E418" s="70">
        <v>29</v>
      </c>
      <c r="F418" s="70">
        <v>679</v>
      </c>
      <c r="G418" s="66">
        <v>1330</v>
      </c>
      <c r="I418" s="52"/>
      <c r="J418" s="52"/>
      <c r="K418" s="52"/>
      <c r="L418" s="52"/>
      <c r="N418" s="52"/>
    </row>
    <row r="419" spans="1:14" s="53" customFormat="1">
      <c r="A419" s="69" t="s">
        <v>393</v>
      </c>
      <c r="B419" s="69" t="s">
        <v>682</v>
      </c>
      <c r="C419" s="69" t="s">
        <v>673</v>
      </c>
      <c r="D419" s="71" t="s">
        <v>670</v>
      </c>
      <c r="E419" s="70">
        <v>15</v>
      </c>
      <c r="F419" s="70">
        <v>125</v>
      </c>
      <c r="G419" s="66">
        <v>1430</v>
      </c>
      <c r="I419" s="52"/>
      <c r="J419" s="52"/>
      <c r="K419" s="52"/>
      <c r="L419" s="52"/>
      <c r="N419" s="52"/>
    </row>
    <row r="420" spans="1:14" s="53" customFormat="1">
      <c r="A420" s="83" t="s">
        <v>393</v>
      </c>
      <c r="B420" s="83" t="s">
        <v>681</v>
      </c>
      <c r="C420" s="83" t="s">
        <v>673</v>
      </c>
      <c r="D420" s="71">
        <v>3.8210299999999999</v>
      </c>
      <c r="E420" s="70">
        <v>59</v>
      </c>
      <c r="F420" s="70">
        <v>730</v>
      </c>
      <c r="G420" s="66">
        <v>1430</v>
      </c>
      <c r="I420" s="52"/>
      <c r="J420" s="52"/>
      <c r="K420" s="52"/>
      <c r="L420" s="52"/>
      <c r="M420" s="52"/>
      <c r="N420" s="52"/>
    </row>
    <row r="421" spans="1:14" s="53" customFormat="1">
      <c r="A421" s="69" t="s">
        <v>393</v>
      </c>
      <c r="B421" s="69" t="s">
        <v>680</v>
      </c>
      <c r="C421" s="69" t="s">
        <v>673</v>
      </c>
      <c r="D421" s="71" t="s">
        <v>670</v>
      </c>
      <c r="E421" s="70">
        <v>101</v>
      </c>
      <c r="F421" s="70">
        <v>2099</v>
      </c>
      <c r="G421" s="66">
        <v>1430</v>
      </c>
      <c r="I421" s="52"/>
      <c r="J421" s="52"/>
      <c r="K421" s="52"/>
      <c r="L421" s="52"/>
      <c r="N421" s="52"/>
    </row>
    <row r="422" spans="1:14" s="53" customFormat="1">
      <c r="A422" s="69" t="s">
        <v>393</v>
      </c>
      <c r="B422" s="69" t="s">
        <v>679</v>
      </c>
      <c r="C422" s="69" t="s">
        <v>673</v>
      </c>
      <c r="D422" s="71" t="s">
        <v>670</v>
      </c>
      <c r="E422" s="70">
        <v>54</v>
      </c>
      <c r="F422" s="70">
        <v>1200</v>
      </c>
      <c r="G422" s="66">
        <v>2130</v>
      </c>
      <c r="I422" s="52"/>
      <c r="J422" s="52"/>
      <c r="K422" s="52"/>
      <c r="L422" s="52"/>
      <c r="N422" s="52"/>
    </row>
    <row r="423" spans="1:14" s="53" customFormat="1">
      <c r="A423" s="69" t="s">
        <v>393</v>
      </c>
      <c r="B423" s="69" t="s">
        <v>678</v>
      </c>
      <c r="C423" s="69" t="s">
        <v>673</v>
      </c>
      <c r="D423" s="71" t="s">
        <v>670</v>
      </c>
      <c r="E423" s="70">
        <v>40</v>
      </c>
      <c r="F423" s="70">
        <v>314</v>
      </c>
      <c r="G423" s="66">
        <v>2130</v>
      </c>
      <c r="I423" s="52"/>
      <c r="J423" s="52"/>
      <c r="K423" s="52"/>
      <c r="L423" s="52"/>
      <c r="M423" s="52"/>
      <c r="N423" s="52"/>
    </row>
    <row r="424" spans="1:14" s="53" customFormat="1">
      <c r="A424" s="69" t="s">
        <v>393</v>
      </c>
      <c r="B424" s="69" t="s">
        <v>677</v>
      </c>
      <c r="C424" s="69" t="s">
        <v>673</v>
      </c>
      <c r="D424" s="71" t="s">
        <v>670</v>
      </c>
      <c r="E424" s="70">
        <v>49</v>
      </c>
      <c r="F424" s="70">
        <v>502</v>
      </c>
      <c r="G424" s="66">
        <v>2330</v>
      </c>
      <c r="I424" s="52"/>
      <c r="J424" s="52"/>
      <c r="K424" s="52"/>
      <c r="L424" s="52"/>
      <c r="M424" s="52"/>
      <c r="N424" s="52"/>
    </row>
    <row r="425" spans="1:14" s="53" customFormat="1">
      <c r="A425" s="69" t="s">
        <v>393</v>
      </c>
      <c r="B425" s="69" t="s">
        <v>676</v>
      </c>
      <c r="C425" s="69" t="s">
        <v>673</v>
      </c>
      <c r="D425" s="71" t="s">
        <v>670</v>
      </c>
      <c r="E425" s="70">
        <v>43</v>
      </c>
      <c r="F425" s="70">
        <v>280</v>
      </c>
      <c r="G425" s="66">
        <v>2330</v>
      </c>
      <c r="I425" s="52"/>
      <c r="J425" s="52"/>
      <c r="K425" s="52"/>
      <c r="L425" s="52"/>
      <c r="M425" s="52"/>
      <c r="N425" s="52"/>
    </row>
    <row r="426" spans="1:14" s="53" customFormat="1">
      <c r="A426" s="69" t="s">
        <v>393</v>
      </c>
      <c r="B426" s="69" t="s">
        <v>675</v>
      </c>
      <c r="C426" s="69" t="s">
        <v>673</v>
      </c>
      <c r="D426" s="71" t="s">
        <v>670</v>
      </c>
      <c r="E426" s="70">
        <v>51</v>
      </c>
      <c r="F426" s="70">
        <v>453</v>
      </c>
      <c r="G426" s="66">
        <v>3130</v>
      </c>
      <c r="I426" s="52"/>
      <c r="J426" s="52"/>
      <c r="K426" s="52"/>
      <c r="L426" s="52"/>
      <c r="M426" s="52"/>
      <c r="N426" s="52"/>
    </row>
    <row r="427" spans="1:14">
      <c r="A427" s="69" t="s">
        <v>393</v>
      </c>
      <c r="B427" s="69" t="s">
        <v>674</v>
      </c>
      <c r="C427" s="69" t="s">
        <v>673</v>
      </c>
      <c r="D427" s="71" t="s">
        <v>670</v>
      </c>
      <c r="E427" s="70">
        <v>74</v>
      </c>
      <c r="F427" s="70">
        <v>635</v>
      </c>
      <c r="G427" s="66">
        <v>3130</v>
      </c>
      <c r="I427" s="53"/>
      <c r="J427" s="53"/>
      <c r="K427" s="53"/>
      <c r="L427" s="53"/>
    </row>
    <row r="428" spans="1:14">
      <c r="A428" s="69" t="s">
        <v>393</v>
      </c>
      <c r="B428" s="69" t="s">
        <v>672</v>
      </c>
      <c r="C428" s="69" t="s">
        <v>671</v>
      </c>
      <c r="D428" s="71" t="s">
        <v>670</v>
      </c>
      <c r="E428" s="70">
        <v>16</v>
      </c>
      <c r="F428" s="70">
        <v>168</v>
      </c>
      <c r="G428" s="66">
        <v>3130</v>
      </c>
      <c r="I428" s="53"/>
      <c r="J428" s="53"/>
      <c r="K428" s="53"/>
      <c r="L428" s="53"/>
    </row>
    <row r="429" spans="1:14">
      <c r="A429" s="69" t="s">
        <v>383</v>
      </c>
      <c r="B429" s="69" t="s">
        <v>669</v>
      </c>
      <c r="C429" s="69" t="s">
        <v>663</v>
      </c>
      <c r="D429" s="71" t="s">
        <v>662</v>
      </c>
      <c r="E429" s="70">
        <v>16</v>
      </c>
      <c r="F429" s="70">
        <v>289</v>
      </c>
      <c r="G429" s="66">
        <v>3140</v>
      </c>
      <c r="I429" s="53"/>
      <c r="J429" s="53"/>
      <c r="K429" s="53"/>
      <c r="L429" s="53"/>
    </row>
    <row r="430" spans="1:14">
      <c r="A430" s="69" t="s">
        <v>383</v>
      </c>
      <c r="B430" s="69" t="s">
        <v>668</v>
      </c>
      <c r="C430" s="69" t="s">
        <v>663</v>
      </c>
      <c r="D430" s="71" t="s">
        <v>662</v>
      </c>
      <c r="E430" s="70">
        <v>20</v>
      </c>
      <c r="F430" s="70">
        <v>343</v>
      </c>
      <c r="G430" s="66">
        <v>3140</v>
      </c>
      <c r="I430" s="53"/>
      <c r="J430" s="53"/>
      <c r="K430" s="53"/>
      <c r="L430" s="53"/>
    </row>
    <row r="431" spans="1:14">
      <c r="A431" s="69" t="s">
        <v>451</v>
      </c>
      <c r="B431" s="69" t="s">
        <v>667</v>
      </c>
      <c r="C431" s="69" t="s">
        <v>663</v>
      </c>
      <c r="D431" s="71" t="s">
        <v>662</v>
      </c>
      <c r="E431" s="70">
        <v>13</v>
      </c>
      <c r="F431" s="70">
        <v>645</v>
      </c>
      <c r="G431" s="66">
        <v>1420</v>
      </c>
      <c r="I431" s="53"/>
      <c r="J431" s="53"/>
      <c r="K431" s="53"/>
      <c r="L431" s="53"/>
    </row>
    <row r="432" spans="1:14">
      <c r="A432" s="69" t="s">
        <v>451</v>
      </c>
      <c r="B432" s="69" t="s">
        <v>666</v>
      </c>
      <c r="C432" s="69" t="s">
        <v>663</v>
      </c>
      <c r="D432" s="71" t="s">
        <v>662</v>
      </c>
      <c r="E432" s="70">
        <v>23</v>
      </c>
      <c r="F432" s="70">
        <v>867</v>
      </c>
      <c r="G432" s="66">
        <v>2320</v>
      </c>
      <c r="I432" s="53"/>
      <c r="J432" s="53"/>
      <c r="K432" s="53"/>
      <c r="L432" s="53"/>
    </row>
    <row r="433" spans="1:13">
      <c r="A433" s="69" t="s">
        <v>451</v>
      </c>
      <c r="B433" s="69" t="s">
        <v>665</v>
      </c>
      <c r="C433" s="69" t="s">
        <v>663</v>
      </c>
      <c r="D433" s="71" t="s">
        <v>662</v>
      </c>
      <c r="E433" s="70">
        <v>18</v>
      </c>
      <c r="F433" s="70">
        <v>622</v>
      </c>
      <c r="G433" s="66">
        <v>2320</v>
      </c>
      <c r="I433" s="53"/>
      <c r="J433" s="53"/>
      <c r="K433" s="53"/>
      <c r="L433" s="53"/>
    </row>
    <row r="434" spans="1:13">
      <c r="A434" s="69" t="s">
        <v>451</v>
      </c>
      <c r="B434" s="69" t="s">
        <v>664</v>
      </c>
      <c r="C434" s="69" t="s">
        <v>663</v>
      </c>
      <c r="D434" s="71" t="s">
        <v>662</v>
      </c>
      <c r="E434" s="70">
        <v>18</v>
      </c>
      <c r="F434" s="70">
        <v>625</v>
      </c>
      <c r="G434" s="66">
        <v>2420</v>
      </c>
      <c r="I434" s="53"/>
      <c r="J434" s="53"/>
      <c r="K434" s="53"/>
      <c r="L434" s="53"/>
      <c r="M434" s="53"/>
    </row>
    <row r="435" spans="1:13">
      <c r="A435" s="69"/>
      <c r="B435" s="69"/>
      <c r="C435" s="69"/>
      <c r="D435" s="68" t="s">
        <v>370</v>
      </c>
      <c r="E435" s="67">
        <f>SUM(E355:E434)</f>
        <v>11017</v>
      </c>
      <c r="F435" s="67">
        <f>SUM(F355:F434)</f>
        <v>113012</v>
      </c>
      <c r="G435" s="66"/>
      <c r="I435" s="53"/>
      <c r="J435" s="53"/>
      <c r="K435" s="53"/>
      <c r="L435" s="53"/>
      <c r="M435" s="53"/>
    </row>
    <row r="436" spans="1:13">
      <c r="A436" s="69"/>
      <c r="B436" s="69"/>
      <c r="C436" s="69"/>
      <c r="D436" s="71"/>
      <c r="E436" s="70"/>
      <c r="F436" s="70"/>
      <c r="G436" s="66"/>
      <c r="I436" s="53"/>
      <c r="J436" s="53"/>
      <c r="K436" s="53"/>
      <c r="L436" s="53"/>
    </row>
    <row r="437" spans="1:13">
      <c r="A437" s="82" t="s">
        <v>661</v>
      </c>
      <c r="B437" s="69"/>
      <c r="C437" s="69"/>
      <c r="D437" s="71"/>
      <c r="E437" s="70"/>
      <c r="F437" s="70"/>
      <c r="G437" s="66"/>
    </row>
    <row r="438" spans="1:13">
      <c r="A438" s="69" t="s">
        <v>451</v>
      </c>
      <c r="B438" s="69" t="s">
        <v>660</v>
      </c>
      <c r="C438" s="69" t="s">
        <v>659</v>
      </c>
      <c r="D438" s="71" t="s">
        <v>619</v>
      </c>
      <c r="E438" s="70">
        <v>0</v>
      </c>
      <c r="F438" s="70">
        <v>1613</v>
      </c>
      <c r="G438" s="66">
        <v>1420</v>
      </c>
    </row>
    <row r="439" spans="1:13">
      <c r="A439" s="69" t="s">
        <v>451</v>
      </c>
      <c r="B439" s="69" t="s">
        <v>658</v>
      </c>
      <c r="C439" s="69" t="s">
        <v>657</v>
      </c>
      <c r="D439" s="71" t="s">
        <v>619</v>
      </c>
      <c r="E439" s="70">
        <v>0</v>
      </c>
      <c r="F439" s="70">
        <v>1613</v>
      </c>
      <c r="G439" s="66">
        <v>1420</v>
      </c>
    </row>
    <row r="440" spans="1:13">
      <c r="A440" s="69" t="s">
        <v>451</v>
      </c>
      <c r="B440" s="69" t="s">
        <v>656</v>
      </c>
      <c r="C440" s="69" t="s">
        <v>655</v>
      </c>
      <c r="D440" s="71" t="s">
        <v>619</v>
      </c>
      <c r="E440" s="70">
        <v>0</v>
      </c>
      <c r="F440" s="70">
        <v>3116</v>
      </c>
      <c r="G440" s="66">
        <v>2220</v>
      </c>
    </row>
    <row r="441" spans="1:13">
      <c r="A441" s="69" t="s">
        <v>447</v>
      </c>
      <c r="B441" s="69" t="s">
        <v>654</v>
      </c>
      <c r="C441" s="69" t="s">
        <v>653</v>
      </c>
      <c r="D441" s="71" t="s">
        <v>619</v>
      </c>
      <c r="E441" s="70">
        <v>0</v>
      </c>
      <c r="F441" s="70">
        <v>2329</v>
      </c>
      <c r="G441" s="66">
        <v>2310</v>
      </c>
      <c r="M441" s="53"/>
    </row>
    <row r="442" spans="1:13">
      <c r="A442" s="69" t="s">
        <v>447</v>
      </c>
      <c r="B442" s="69" t="s">
        <v>652</v>
      </c>
      <c r="C442" s="69" t="s">
        <v>651</v>
      </c>
      <c r="D442" s="71" t="s">
        <v>619</v>
      </c>
      <c r="E442" s="70">
        <v>0</v>
      </c>
      <c r="F442" s="70">
        <v>3105</v>
      </c>
      <c r="G442" s="66">
        <v>3220</v>
      </c>
      <c r="M442" s="53"/>
    </row>
    <row r="443" spans="1:13">
      <c r="A443" s="69" t="s">
        <v>447</v>
      </c>
      <c r="B443" s="69" t="s">
        <v>650</v>
      </c>
      <c r="C443" s="69" t="s">
        <v>649</v>
      </c>
      <c r="D443" s="71" t="s">
        <v>619</v>
      </c>
      <c r="E443" s="70">
        <v>0</v>
      </c>
      <c r="F443" s="70">
        <v>3067</v>
      </c>
      <c r="G443" s="66">
        <v>3220</v>
      </c>
      <c r="M443" s="53"/>
    </row>
    <row r="444" spans="1:13">
      <c r="A444" s="69" t="s">
        <v>451</v>
      </c>
      <c r="B444" s="69" t="s">
        <v>648</v>
      </c>
      <c r="C444" s="69" t="s">
        <v>644</v>
      </c>
      <c r="D444" s="71" t="s">
        <v>619</v>
      </c>
      <c r="E444" s="70">
        <v>0</v>
      </c>
      <c r="F444" s="70">
        <v>3088</v>
      </c>
      <c r="G444" s="66">
        <v>2320</v>
      </c>
      <c r="M444" s="53"/>
    </row>
    <row r="445" spans="1:13">
      <c r="A445" s="69" t="s">
        <v>451</v>
      </c>
      <c r="B445" s="69" t="s">
        <v>647</v>
      </c>
      <c r="C445" s="69" t="s">
        <v>644</v>
      </c>
      <c r="D445" s="71" t="s">
        <v>619</v>
      </c>
      <c r="E445" s="70">
        <v>0</v>
      </c>
      <c r="F445" s="70">
        <v>2427</v>
      </c>
      <c r="G445" s="66">
        <v>2320</v>
      </c>
      <c r="M445" s="53"/>
    </row>
    <row r="446" spans="1:13">
      <c r="A446" s="69" t="s">
        <v>451</v>
      </c>
      <c r="B446" s="69" t="s">
        <v>646</v>
      </c>
      <c r="C446" s="69" t="s">
        <v>644</v>
      </c>
      <c r="D446" s="71" t="s">
        <v>619</v>
      </c>
      <c r="E446" s="70">
        <v>0</v>
      </c>
      <c r="F446" s="70">
        <v>2430</v>
      </c>
      <c r="G446" s="66">
        <v>3120</v>
      </c>
    </row>
    <row r="447" spans="1:13">
      <c r="A447" s="69" t="s">
        <v>447</v>
      </c>
      <c r="B447" s="69" t="s">
        <v>645</v>
      </c>
      <c r="C447" s="69" t="s">
        <v>644</v>
      </c>
      <c r="D447" s="71" t="s">
        <v>619</v>
      </c>
      <c r="E447" s="70">
        <v>0</v>
      </c>
      <c r="F447" s="70">
        <v>2790</v>
      </c>
      <c r="G447" s="66">
        <v>3110</v>
      </c>
    </row>
    <row r="448" spans="1:13">
      <c r="A448" s="69" t="s">
        <v>447</v>
      </c>
      <c r="B448" s="69" t="s">
        <v>643</v>
      </c>
      <c r="C448" s="69" t="s">
        <v>639</v>
      </c>
      <c r="D448" s="71" t="s">
        <v>619</v>
      </c>
      <c r="E448" s="70">
        <v>0</v>
      </c>
      <c r="F448" s="70">
        <v>1880</v>
      </c>
      <c r="G448" s="66">
        <v>1210</v>
      </c>
    </row>
    <row r="449" spans="1:13">
      <c r="A449" s="69" t="s">
        <v>447</v>
      </c>
      <c r="B449" s="69" t="s">
        <v>642</v>
      </c>
      <c r="C449" s="69" t="s">
        <v>639</v>
      </c>
      <c r="D449" s="71" t="s">
        <v>619</v>
      </c>
      <c r="E449" s="70">
        <v>0</v>
      </c>
      <c r="F449" s="70">
        <v>2142</v>
      </c>
      <c r="G449" s="66">
        <v>1410</v>
      </c>
    </row>
    <row r="450" spans="1:13">
      <c r="A450" s="69" t="s">
        <v>447</v>
      </c>
      <c r="B450" s="69" t="s">
        <v>641</v>
      </c>
      <c r="C450" s="69" t="s">
        <v>639</v>
      </c>
      <c r="D450" s="71" t="s">
        <v>619</v>
      </c>
      <c r="E450" s="70">
        <v>0</v>
      </c>
      <c r="F450" s="70">
        <v>2544</v>
      </c>
      <c r="G450" s="66">
        <v>2110</v>
      </c>
    </row>
    <row r="451" spans="1:13">
      <c r="A451" s="69" t="s">
        <v>447</v>
      </c>
      <c r="B451" s="69" t="s">
        <v>640</v>
      </c>
      <c r="C451" s="69" t="s">
        <v>639</v>
      </c>
      <c r="D451" s="71" t="s">
        <v>619</v>
      </c>
      <c r="E451" s="70">
        <v>0</v>
      </c>
      <c r="F451" s="70">
        <v>2104</v>
      </c>
      <c r="G451" s="66">
        <v>2210</v>
      </c>
    </row>
    <row r="452" spans="1:13">
      <c r="A452" s="69" t="s">
        <v>447</v>
      </c>
      <c r="B452" s="69" t="s">
        <v>638</v>
      </c>
      <c r="C452" s="69" t="s">
        <v>635</v>
      </c>
      <c r="D452" s="71" t="s">
        <v>619</v>
      </c>
      <c r="E452" s="70">
        <v>0</v>
      </c>
      <c r="F452" s="70">
        <v>2194</v>
      </c>
      <c r="G452" s="66">
        <v>1410</v>
      </c>
    </row>
    <row r="453" spans="1:13">
      <c r="A453" s="69" t="s">
        <v>447</v>
      </c>
      <c r="B453" s="69" t="s">
        <v>637</v>
      </c>
      <c r="C453" s="69" t="s">
        <v>635</v>
      </c>
      <c r="D453" s="71" t="s">
        <v>619</v>
      </c>
      <c r="E453" s="70">
        <v>0</v>
      </c>
      <c r="F453" s="70">
        <v>2662</v>
      </c>
      <c r="G453" s="66">
        <v>2110</v>
      </c>
    </row>
    <row r="454" spans="1:13">
      <c r="A454" s="69" t="s">
        <v>447</v>
      </c>
      <c r="B454" s="69" t="s">
        <v>636</v>
      </c>
      <c r="C454" s="69" t="s">
        <v>635</v>
      </c>
      <c r="D454" s="71" t="s">
        <v>619</v>
      </c>
      <c r="E454" s="70">
        <v>0</v>
      </c>
      <c r="F454" s="70">
        <v>2871</v>
      </c>
      <c r="G454" s="66">
        <v>2210</v>
      </c>
    </row>
    <row r="455" spans="1:13">
      <c r="A455" s="69" t="s">
        <v>447</v>
      </c>
      <c r="B455" s="69" t="s">
        <v>634</v>
      </c>
      <c r="C455" s="69" t="s">
        <v>631</v>
      </c>
      <c r="D455" s="71" t="s">
        <v>619</v>
      </c>
      <c r="E455" s="70">
        <v>0</v>
      </c>
      <c r="F455" s="70">
        <v>2346</v>
      </c>
      <c r="G455" s="66">
        <v>2310</v>
      </c>
    </row>
    <row r="456" spans="1:13">
      <c r="A456" s="69" t="s">
        <v>447</v>
      </c>
      <c r="B456" s="69" t="s">
        <v>633</v>
      </c>
      <c r="C456" s="69" t="s">
        <v>631</v>
      </c>
      <c r="D456" s="71" t="s">
        <v>619</v>
      </c>
      <c r="E456" s="70">
        <v>0</v>
      </c>
      <c r="F456" s="70">
        <v>2808</v>
      </c>
      <c r="G456" s="66">
        <v>2410</v>
      </c>
    </row>
    <row r="457" spans="1:13">
      <c r="A457" s="69" t="s">
        <v>447</v>
      </c>
      <c r="B457" s="69" t="s">
        <v>632</v>
      </c>
      <c r="C457" s="69" t="s">
        <v>631</v>
      </c>
      <c r="D457" s="71" t="s">
        <v>619</v>
      </c>
      <c r="E457" s="70">
        <v>0</v>
      </c>
      <c r="F457" s="70">
        <v>1232</v>
      </c>
      <c r="G457" s="66">
        <v>3110</v>
      </c>
    </row>
    <row r="458" spans="1:13">
      <c r="A458" s="69" t="s">
        <v>451</v>
      </c>
      <c r="B458" s="69" t="s">
        <v>630</v>
      </c>
      <c r="C458" s="69" t="s">
        <v>627</v>
      </c>
      <c r="D458" s="71" t="s">
        <v>619</v>
      </c>
      <c r="E458" s="70">
        <v>0</v>
      </c>
      <c r="F458" s="70">
        <v>2829</v>
      </c>
      <c r="G458" s="66">
        <v>2420</v>
      </c>
    </row>
    <row r="459" spans="1:13">
      <c r="A459" s="69" t="s">
        <v>447</v>
      </c>
      <c r="B459" s="69" t="s">
        <v>629</v>
      </c>
      <c r="C459" s="69" t="s">
        <v>627</v>
      </c>
      <c r="D459" s="71" t="s">
        <v>619</v>
      </c>
      <c r="E459" s="70">
        <v>0</v>
      </c>
      <c r="F459" s="70">
        <v>2020</v>
      </c>
      <c r="G459" s="66">
        <v>2410</v>
      </c>
      <c r="M459" s="53"/>
    </row>
    <row r="460" spans="1:13">
      <c r="A460" s="69" t="s">
        <v>447</v>
      </c>
      <c r="B460" s="69" t="s">
        <v>628</v>
      </c>
      <c r="C460" s="69" t="s">
        <v>627</v>
      </c>
      <c r="D460" s="71" t="s">
        <v>619</v>
      </c>
      <c r="E460" s="70">
        <v>0</v>
      </c>
      <c r="F460" s="70">
        <v>1232</v>
      </c>
      <c r="G460" s="66">
        <v>3110</v>
      </c>
      <c r="M460" s="53"/>
    </row>
    <row r="461" spans="1:13">
      <c r="A461" s="69" t="s">
        <v>447</v>
      </c>
      <c r="B461" s="69" t="s">
        <v>626</v>
      </c>
      <c r="C461" s="69" t="s">
        <v>625</v>
      </c>
      <c r="D461" s="71" t="s">
        <v>619</v>
      </c>
      <c r="E461" s="70">
        <v>0</v>
      </c>
      <c r="F461" s="70">
        <v>5159</v>
      </c>
      <c r="G461" s="66">
        <v>2220</v>
      </c>
      <c r="I461" s="59"/>
      <c r="J461" s="54"/>
      <c r="K461" s="54"/>
      <c r="M461" s="53"/>
    </row>
    <row r="462" spans="1:13">
      <c r="A462" s="69" t="s">
        <v>447</v>
      </c>
      <c r="B462" s="69" t="s">
        <v>624</v>
      </c>
      <c r="C462" s="69" t="s">
        <v>623</v>
      </c>
      <c r="D462" s="71" t="s">
        <v>619</v>
      </c>
      <c r="E462" s="70">
        <v>0</v>
      </c>
      <c r="F462" s="70">
        <v>4421</v>
      </c>
      <c r="G462" s="66">
        <v>3320</v>
      </c>
      <c r="I462" s="59"/>
      <c r="J462" s="54"/>
      <c r="K462" s="54"/>
      <c r="M462" s="53"/>
    </row>
    <row r="463" spans="1:13">
      <c r="A463" s="69" t="s">
        <v>451</v>
      </c>
      <c r="B463" s="69" t="s">
        <v>622</v>
      </c>
      <c r="C463" s="69" t="s">
        <v>620</v>
      </c>
      <c r="D463" s="71" t="s">
        <v>619</v>
      </c>
      <c r="E463" s="70">
        <v>0</v>
      </c>
      <c r="F463" s="70">
        <v>1390</v>
      </c>
      <c r="G463" s="66">
        <v>3320</v>
      </c>
      <c r="I463" s="59"/>
      <c r="J463" s="54"/>
      <c r="K463" s="54"/>
      <c r="M463" s="53"/>
    </row>
    <row r="464" spans="1:13">
      <c r="A464" s="69" t="s">
        <v>451</v>
      </c>
      <c r="B464" s="69" t="s">
        <v>621</v>
      </c>
      <c r="C464" s="69" t="s">
        <v>620</v>
      </c>
      <c r="D464" s="71" t="s">
        <v>619</v>
      </c>
      <c r="E464" s="70">
        <v>0</v>
      </c>
      <c r="F464" s="70">
        <v>1172</v>
      </c>
      <c r="G464" s="66">
        <v>3320</v>
      </c>
      <c r="I464" s="59"/>
      <c r="J464" s="54"/>
      <c r="K464" s="54"/>
      <c r="M464" s="53"/>
    </row>
    <row r="465" spans="1:14">
      <c r="A465" s="69" t="s">
        <v>447</v>
      </c>
      <c r="B465" s="69" t="s">
        <v>618</v>
      </c>
      <c r="C465" s="69" t="s">
        <v>617</v>
      </c>
      <c r="D465" s="71" t="s">
        <v>606</v>
      </c>
      <c r="E465" s="70">
        <v>0</v>
      </c>
      <c r="F465" s="70">
        <v>474</v>
      </c>
      <c r="G465" s="66">
        <v>2210</v>
      </c>
      <c r="I465" s="59"/>
      <c r="J465" s="54"/>
      <c r="K465" s="54"/>
      <c r="M465" s="53"/>
    </row>
    <row r="466" spans="1:14">
      <c r="A466" s="69" t="s">
        <v>447</v>
      </c>
      <c r="B466" s="69" t="s">
        <v>616</v>
      </c>
      <c r="C466" s="69" t="s">
        <v>615</v>
      </c>
      <c r="D466" s="71" t="s">
        <v>606</v>
      </c>
      <c r="E466" s="70">
        <v>0</v>
      </c>
      <c r="F466" s="70">
        <v>294</v>
      </c>
      <c r="G466" s="66">
        <v>2210</v>
      </c>
      <c r="I466" s="59"/>
      <c r="J466" s="54"/>
      <c r="K466" s="54"/>
      <c r="M466" s="53"/>
    </row>
    <row r="467" spans="1:14">
      <c r="A467" s="69" t="s">
        <v>447</v>
      </c>
      <c r="B467" s="69" t="s">
        <v>614</v>
      </c>
      <c r="C467" s="69" t="s">
        <v>613</v>
      </c>
      <c r="D467" s="71" t="s">
        <v>606</v>
      </c>
      <c r="E467" s="70">
        <v>0</v>
      </c>
      <c r="F467" s="70">
        <v>202</v>
      </c>
      <c r="G467" s="66">
        <v>2410</v>
      </c>
      <c r="M467" s="53"/>
    </row>
    <row r="468" spans="1:14">
      <c r="A468" s="69" t="s">
        <v>447</v>
      </c>
      <c r="B468" s="69" t="s">
        <v>612</v>
      </c>
      <c r="C468" s="69" t="s">
        <v>611</v>
      </c>
      <c r="D468" s="71" t="s">
        <v>606</v>
      </c>
      <c r="E468" s="70">
        <v>0</v>
      </c>
      <c r="F468" s="70">
        <v>303</v>
      </c>
      <c r="G468" s="66">
        <v>2410</v>
      </c>
      <c r="I468" s="59"/>
      <c r="J468" s="54"/>
      <c r="K468" s="54"/>
      <c r="M468" s="53"/>
    </row>
    <row r="469" spans="1:14">
      <c r="A469" s="69" t="s">
        <v>451</v>
      </c>
      <c r="B469" s="69" t="s">
        <v>610</v>
      </c>
      <c r="C469" s="69" t="s">
        <v>609</v>
      </c>
      <c r="D469" s="71" t="s">
        <v>606</v>
      </c>
      <c r="E469" s="70">
        <v>0</v>
      </c>
      <c r="F469" s="70">
        <v>255</v>
      </c>
      <c r="G469" s="66">
        <v>3320</v>
      </c>
      <c r="I469" s="59"/>
      <c r="J469" s="54"/>
      <c r="K469" s="54"/>
      <c r="M469" s="53"/>
    </row>
    <row r="470" spans="1:14">
      <c r="A470" s="81" t="s">
        <v>451</v>
      </c>
      <c r="B470" s="81" t="s">
        <v>608</v>
      </c>
      <c r="C470" s="81" t="s">
        <v>607</v>
      </c>
      <c r="D470" s="80" t="s">
        <v>606</v>
      </c>
      <c r="E470" s="79">
        <v>0</v>
      </c>
      <c r="F470" s="79">
        <v>255</v>
      </c>
      <c r="G470" s="78">
        <v>3320</v>
      </c>
      <c r="I470" s="59"/>
      <c r="J470" s="54"/>
      <c r="K470" s="54"/>
    </row>
    <row r="471" spans="1:14">
      <c r="A471" s="69" t="s">
        <v>383</v>
      </c>
      <c r="B471" s="69" t="s">
        <v>605</v>
      </c>
      <c r="C471" s="69" t="s">
        <v>596</v>
      </c>
      <c r="D471" s="71" t="s">
        <v>604</v>
      </c>
      <c r="E471" s="70">
        <v>4</v>
      </c>
      <c r="F471" s="70">
        <v>37</v>
      </c>
      <c r="G471" s="66">
        <v>2440</v>
      </c>
      <c r="I471" s="59"/>
      <c r="J471" s="54"/>
      <c r="K471" s="54"/>
    </row>
    <row r="472" spans="1:14" s="53" customFormat="1">
      <c r="A472" s="77" t="s">
        <v>451</v>
      </c>
      <c r="B472" s="77" t="s">
        <v>603</v>
      </c>
      <c r="C472" s="77" t="s">
        <v>601</v>
      </c>
      <c r="D472" s="76" t="s">
        <v>598</v>
      </c>
      <c r="E472" s="75">
        <v>0</v>
      </c>
      <c r="F472" s="75">
        <v>236</v>
      </c>
      <c r="G472" s="74">
        <v>3320</v>
      </c>
      <c r="I472" s="59"/>
      <c r="J472" s="54"/>
      <c r="K472" s="54"/>
      <c r="L472" s="52"/>
      <c r="M472" s="52"/>
      <c r="N472" s="52"/>
    </row>
    <row r="473" spans="1:14" s="53" customFormat="1">
      <c r="A473" s="69" t="s">
        <v>451</v>
      </c>
      <c r="B473" s="69" t="s">
        <v>602</v>
      </c>
      <c r="C473" s="69" t="s">
        <v>601</v>
      </c>
      <c r="D473" s="71" t="s">
        <v>598</v>
      </c>
      <c r="E473" s="70">
        <v>0</v>
      </c>
      <c r="F473" s="70">
        <v>236</v>
      </c>
      <c r="G473" s="66">
        <v>3320</v>
      </c>
      <c r="I473" s="59"/>
      <c r="J473" s="54"/>
      <c r="K473" s="54"/>
      <c r="M473" s="52"/>
      <c r="N473" s="52"/>
    </row>
    <row r="474" spans="1:14" s="53" customFormat="1">
      <c r="A474" s="69" t="s">
        <v>397</v>
      </c>
      <c r="B474" s="69" t="s">
        <v>600</v>
      </c>
      <c r="C474" s="69" t="s">
        <v>599</v>
      </c>
      <c r="D474" s="71" t="s">
        <v>598</v>
      </c>
      <c r="E474" s="70">
        <v>20</v>
      </c>
      <c r="F474" s="70">
        <v>186</v>
      </c>
      <c r="G474" s="66">
        <v>3250</v>
      </c>
      <c r="M474" s="52"/>
      <c r="N474" s="52"/>
    </row>
    <row r="475" spans="1:14" s="53" customFormat="1">
      <c r="A475" s="69" t="s">
        <v>383</v>
      </c>
      <c r="B475" s="69" t="s">
        <v>597</v>
      </c>
      <c r="C475" s="69" t="s">
        <v>596</v>
      </c>
      <c r="D475" s="71" t="s">
        <v>595</v>
      </c>
      <c r="E475" s="70">
        <v>4</v>
      </c>
      <c r="F475" s="70">
        <v>36</v>
      </c>
      <c r="G475" s="66">
        <v>2240</v>
      </c>
      <c r="I475" s="59"/>
      <c r="M475" s="52"/>
    </row>
    <row r="476" spans="1:14" s="53" customFormat="1">
      <c r="A476" s="69" t="s">
        <v>393</v>
      </c>
      <c r="B476" s="69" t="s">
        <v>594</v>
      </c>
      <c r="C476" s="69" t="s">
        <v>586</v>
      </c>
      <c r="D476" s="71" t="s">
        <v>585</v>
      </c>
      <c r="E476" s="70">
        <v>0</v>
      </c>
      <c r="F476" s="70">
        <v>187</v>
      </c>
      <c r="G476" s="66">
        <v>2230</v>
      </c>
      <c r="I476" s="59"/>
      <c r="M476" s="52"/>
    </row>
    <row r="477" spans="1:14" s="53" customFormat="1">
      <c r="A477" s="69" t="s">
        <v>393</v>
      </c>
      <c r="B477" s="69" t="s">
        <v>593</v>
      </c>
      <c r="C477" s="69" t="s">
        <v>586</v>
      </c>
      <c r="D477" s="71" t="s">
        <v>585</v>
      </c>
      <c r="E477" s="70">
        <v>0</v>
      </c>
      <c r="F477" s="70">
        <v>193</v>
      </c>
      <c r="G477" s="66">
        <v>2230</v>
      </c>
      <c r="I477" s="59"/>
      <c r="J477" s="54"/>
      <c r="K477" s="54"/>
      <c r="M477" s="52"/>
    </row>
    <row r="478" spans="1:14" s="53" customFormat="1">
      <c r="A478" s="69" t="s">
        <v>393</v>
      </c>
      <c r="B478" s="69" t="s">
        <v>592</v>
      </c>
      <c r="C478" s="69" t="s">
        <v>586</v>
      </c>
      <c r="D478" s="71" t="s">
        <v>585</v>
      </c>
      <c r="E478" s="70">
        <v>0</v>
      </c>
      <c r="F478" s="70">
        <v>193</v>
      </c>
      <c r="G478" s="66">
        <v>2230</v>
      </c>
      <c r="I478" s="59"/>
      <c r="J478" s="54"/>
      <c r="K478" s="54"/>
      <c r="M478" s="52"/>
    </row>
    <row r="479" spans="1:14">
      <c r="A479" s="69" t="s">
        <v>393</v>
      </c>
      <c r="B479" s="69" t="s">
        <v>591</v>
      </c>
      <c r="C479" s="69" t="s">
        <v>586</v>
      </c>
      <c r="D479" s="71" t="s">
        <v>585</v>
      </c>
      <c r="E479" s="70">
        <v>0</v>
      </c>
      <c r="F479" s="70">
        <v>189</v>
      </c>
      <c r="G479" s="66">
        <v>2230</v>
      </c>
      <c r="I479" s="59"/>
      <c r="J479" s="54"/>
      <c r="K479" s="54"/>
      <c r="L479" s="53"/>
      <c r="N479" s="53"/>
    </row>
    <row r="480" spans="1:14">
      <c r="A480" s="69" t="s">
        <v>393</v>
      </c>
      <c r="B480" s="69" t="s">
        <v>590</v>
      </c>
      <c r="C480" s="69" t="s">
        <v>586</v>
      </c>
      <c r="D480" s="71" t="s">
        <v>585</v>
      </c>
      <c r="E480" s="70">
        <v>0</v>
      </c>
      <c r="F480" s="70">
        <v>158</v>
      </c>
      <c r="G480" s="66">
        <v>2430</v>
      </c>
      <c r="N480" s="53"/>
    </row>
    <row r="481" spans="1:14" s="53" customFormat="1">
      <c r="A481" s="69" t="s">
        <v>393</v>
      </c>
      <c r="B481" s="69" t="s">
        <v>589</v>
      </c>
      <c r="C481" s="69" t="s">
        <v>586</v>
      </c>
      <c r="D481" s="71" t="s">
        <v>585</v>
      </c>
      <c r="E481" s="70">
        <v>0</v>
      </c>
      <c r="F481" s="70">
        <v>155</v>
      </c>
      <c r="G481" s="66">
        <v>2430</v>
      </c>
      <c r="I481" s="59"/>
      <c r="L481" s="52"/>
      <c r="M481" s="52"/>
    </row>
    <row r="482" spans="1:14" s="53" customFormat="1">
      <c r="A482" s="69" t="s">
        <v>393</v>
      </c>
      <c r="B482" s="69" t="s">
        <v>588</v>
      </c>
      <c r="C482" s="69" t="s">
        <v>586</v>
      </c>
      <c r="D482" s="71" t="s">
        <v>585</v>
      </c>
      <c r="E482" s="70">
        <v>0</v>
      </c>
      <c r="F482" s="70">
        <v>155</v>
      </c>
      <c r="G482" s="66">
        <v>2430</v>
      </c>
      <c r="M482" s="52"/>
      <c r="N482" s="52"/>
    </row>
    <row r="483" spans="1:14" s="53" customFormat="1">
      <c r="A483" s="69" t="s">
        <v>393</v>
      </c>
      <c r="B483" s="69" t="s">
        <v>587</v>
      </c>
      <c r="C483" s="69" t="s">
        <v>586</v>
      </c>
      <c r="D483" s="71" t="s">
        <v>585</v>
      </c>
      <c r="E483" s="70">
        <v>0</v>
      </c>
      <c r="F483" s="70">
        <v>167</v>
      </c>
      <c r="G483" s="66">
        <v>2430</v>
      </c>
      <c r="M483" s="52"/>
      <c r="N483" s="52"/>
    </row>
    <row r="484" spans="1:14">
      <c r="A484" s="69" t="s">
        <v>393</v>
      </c>
      <c r="B484" s="69" t="s">
        <v>584</v>
      </c>
      <c r="C484" s="69" t="s">
        <v>580</v>
      </c>
      <c r="D484" s="71" t="s">
        <v>579</v>
      </c>
      <c r="E484" s="70">
        <v>0</v>
      </c>
      <c r="F484" s="70">
        <v>177</v>
      </c>
      <c r="G484" s="66">
        <v>2230</v>
      </c>
      <c r="I484" s="53"/>
      <c r="J484" s="53"/>
      <c r="K484" s="53"/>
      <c r="L484" s="53"/>
      <c r="N484" s="53"/>
    </row>
    <row r="485" spans="1:14">
      <c r="A485" s="69" t="s">
        <v>393</v>
      </c>
      <c r="B485" s="69" t="s">
        <v>583</v>
      </c>
      <c r="C485" s="69" t="s">
        <v>580</v>
      </c>
      <c r="D485" s="71" t="s">
        <v>579</v>
      </c>
      <c r="E485" s="70">
        <v>0</v>
      </c>
      <c r="F485" s="70">
        <v>183</v>
      </c>
      <c r="G485" s="66">
        <v>2230</v>
      </c>
      <c r="I485" s="53"/>
      <c r="J485" s="53"/>
      <c r="K485" s="53"/>
      <c r="N485" s="53"/>
    </row>
    <row r="486" spans="1:14">
      <c r="A486" s="69" t="s">
        <v>393</v>
      </c>
      <c r="B486" s="69" t="s">
        <v>582</v>
      </c>
      <c r="C486" s="69" t="s">
        <v>580</v>
      </c>
      <c r="D486" s="71" t="s">
        <v>579</v>
      </c>
      <c r="E486" s="70">
        <v>0</v>
      </c>
      <c r="F486" s="70">
        <v>161</v>
      </c>
      <c r="G486" s="66">
        <v>2430</v>
      </c>
      <c r="I486" s="53"/>
      <c r="J486" s="53"/>
      <c r="K486" s="53"/>
      <c r="N486" s="53"/>
    </row>
    <row r="487" spans="1:14">
      <c r="A487" s="69" t="s">
        <v>393</v>
      </c>
      <c r="B487" s="69" t="s">
        <v>581</v>
      </c>
      <c r="C487" s="69" t="s">
        <v>580</v>
      </c>
      <c r="D487" s="71" t="s">
        <v>579</v>
      </c>
      <c r="E487" s="70">
        <v>0</v>
      </c>
      <c r="F487" s="70">
        <v>160</v>
      </c>
      <c r="G487" s="66">
        <v>2430</v>
      </c>
      <c r="I487" s="53"/>
      <c r="J487" s="53"/>
      <c r="K487" s="53"/>
    </row>
    <row r="488" spans="1:14">
      <c r="A488" s="69" t="s">
        <v>447</v>
      </c>
      <c r="B488" s="69" t="s">
        <v>578</v>
      </c>
      <c r="C488" s="69" t="s">
        <v>576</v>
      </c>
      <c r="D488" s="71" t="s">
        <v>575</v>
      </c>
      <c r="E488" s="70">
        <v>0</v>
      </c>
      <c r="F488" s="70">
        <v>337</v>
      </c>
      <c r="G488" s="66">
        <v>2210</v>
      </c>
      <c r="I488" s="53"/>
      <c r="J488" s="53"/>
      <c r="K488" s="53"/>
    </row>
    <row r="489" spans="1:14">
      <c r="A489" s="69" t="s">
        <v>447</v>
      </c>
      <c r="B489" s="69" t="s">
        <v>577</v>
      </c>
      <c r="C489" s="69" t="s">
        <v>576</v>
      </c>
      <c r="D489" s="71" t="s">
        <v>575</v>
      </c>
      <c r="E489" s="70">
        <v>0</v>
      </c>
      <c r="F489" s="70">
        <v>289</v>
      </c>
      <c r="G489" s="66">
        <v>2410</v>
      </c>
      <c r="I489" s="54"/>
      <c r="J489" s="54"/>
      <c r="K489" s="54"/>
    </row>
    <row r="490" spans="1:14">
      <c r="A490" s="69" t="s">
        <v>451</v>
      </c>
      <c r="B490" s="69" t="s">
        <v>574</v>
      </c>
      <c r="C490" s="69" t="s">
        <v>573</v>
      </c>
      <c r="D490" s="71" t="s">
        <v>572</v>
      </c>
      <c r="E490" s="70">
        <v>28</v>
      </c>
      <c r="F490" s="70">
        <v>1979</v>
      </c>
      <c r="G490" s="66">
        <v>1150</v>
      </c>
      <c r="I490" s="54"/>
      <c r="J490" s="54"/>
      <c r="K490" s="54"/>
    </row>
    <row r="491" spans="1:14" s="53" customFormat="1">
      <c r="A491" s="69" t="s">
        <v>451</v>
      </c>
      <c r="B491" s="69" t="s">
        <v>571</v>
      </c>
      <c r="C491" s="69" t="s">
        <v>567</v>
      </c>
      <c r="D491" s="71" t="s">
        <v>566</v>
      </c>
      <c r="E491" s="70">
        <v>0</v>
      </c>
      <c r="F491" s="70">
        <v>527</v>
      </c>
      <c r="G491" s="66">
        <v>2120</v>
      </c>
      <c r="I491" s="54"/>
      <c r="J491" s="54"/>
      <c r="K491" s="54"/>
      <c r="L491" s="52"/>
      <c r="M491" s="52"/>
      <c r="N491" s="52"/>
    </row>
    <row r="492" spans="1:14" s="53" customFormat="1">
      <c r="A492" s="69" t="s">
        <v>451</v>
      </c>
      <c r="B492" s="69" t="s">
        <v>570</v>
      </c>
      <c r="C492" s="69" t="s">
        <v>567</v>
      </c>
      <c r="D492" s="71" t="s">
        <v>566</v>
      </c>
      <c r="E492" s="70">
        <v>0</v>
      </c>
      <c r="F492" s="70">
        <v>527</v>
      </c>
      <c r="G492" s="66">
        <v>2120</v>
      </c>
      <c r="I492" s="54"/>
      <c r="J492" s="54"/>
      <c r="K492" s="54"/>
      <c r="M492" s="52"/>
      <c r="N492" s="52"/>
    </row>
    <row r="493" spans="1:14" s="53" customFormat="1">
      <c r="A493" s="69" t="s">
        <v>451</v>
      </c>
      <c r="B493" s="69" t="s">
        <v>569</v>
      </c>
      <c r="C493" s="69" t="s">
        <v>567</v>
      </c>
      <c r="D493" s="71" t="s">
        <v>566</v>
      </c>
      <c r="E493" s="70">
        <v>0</v>
      </c>
      <c r="F493" s="70">
        <v>524</v>
      </c>
      <c r="G493" s="66">
        <v>2120</v>
      </c>
      <c r="I493" s="54"/>
      <c r="J493" s="54"/>
      <c r="K493" s="54"/>
      <c r="M493" s="52"/>
      <c r="N493" s="52"/>
    </row>
    <row r="494" spans="1:14" s="53" customFormat="1">
      <c r="A494" s="69" t="s">
        <v>451</v>
      </c>
      <c r="B494" s="69" t="s">
        <v>568</v>
      </c>
      <c r="C494" s="69" t="s">
        <v>567</v>
      </c>
      <c r="D494" s="71" t="s">
        <v>566</v>
      </c>
      <c r="E494" s="70">
        <v>0</v>
      </c>
      <c r="F494" s="70">
        <v>524</v>
      </c>
      <c r="G494" s="66">
        <v>2120</v>
      </c>
      <c r="I494" s="59"/>
      <c r="J494" s="54"/>
      <c r="K494" s="54"/>
      <c r="M494" s="52"/>
    </row>
    <row r="495" spans="1:14" s="53" customFormat="1">
      <c r="A495" s="69" t="s">
        <v>451</v>
      </c>
      <c r="B495" s="69" t="s">
        <v>565</v>
      </c>
      <c r="C495" s="69" t="s">
        <v>564</v>
      </c>
      <c r="D495" s="71" t="s">
        <v>561</v>
      </c>
      <c r="E495" s="70">
        <v>242</v>
      </c>
      <c r="F495" s="70">
        <v>2373</v>
      </c>
      <c r="G495" s="66">
        <v>1420</v>
      </c>
      <c r="I495" s="59"/>
      <c r="J495" s="54"/>
      <c r="K495" s="54"/>
      <c r="M495" s="52"/>
    </row>
    <row r="496" spans="1:14" s="53" customFormat="1">
      <c r="A496" s="69" t="s">
        <v>451</v>
      </c>
      <c r="B496" s="69" t="s">
        <v>563</v>
      </c>
      <c r="C496" s="69" t="s">
        <v>562</v>
      </c>
      <c r="D496" s="71" t="s">
        <v>561</v>
      </c>
      <c r="E496" s="70">
        <v>0</v>
      </c>
      <c r="F496" s="70">
        <v>1465</v>
      </c>
      <c r="G496" s="66">
        <v>3120</v>
      </c>
      <c r="I496" s="59"/>
      <c r="J496" s="54"/>
      <c r="K496" s="54"/>
      <c r="M496" s="52"/>
    </row>
    <row r="497" spans="1:14">
      <c r="A497" s="69" t="s">
        <v>447</v>
      </c>
      <c r="B497" s="69" t="s">
        <v>560</v>
      </c>
      <c r="C497" s="69" t="s">
        <v>559</v>
      </c>
      <c r="D497" s="71" t="s">
        <v>558</v>
      </c>
      <c r="E497" s="70">
        <v>0</v>
      </c>
      <c r="F497" s="70">
        <v>391</v>
      </c>
      <c r="G497" s="66">
        <v>2310</v>
      </c>
      <c r="I497" s="59"/>
      <c r="J497" s="54"/>
      <c r="K497" s="54"/>
      <c r="L497" s="53"/>
      <c r="N497" s="53"/>
    </row>
    <row r="498" spans="1:14">
      <c r="A498" s="69" t="s">
        <v>447</v>
      </c>
      <c r="B498" s="69" t="s">
        <v>557</v>
      </c>
      <c r="C498" s="69" t="s">
        <v>556</v>
      </c>
      <c r="D498" s="71" t="s">
        <v>555</v>
      </c>
      <c r="E498" s="70">
        <v>0</v>
      </c>
      <c r="F498" s="70">
        <v>391</v>
      </c>
      <c r="G498" s="66">
        <v>2310</v>
      </c>
      <c r="M498" s="53"/>
      <c r="N498" s="53"/>
    </row>
    <row r="499" spans="1:14">
      <c r="A499" s="69" t="s">
        <v>451</v>
      </c>
      <c r="B499" s="69" t="s">
        <v>554</v>
      </c>
      <c r="C499" s="69" t="s">
        <v>551</v>
      </c>
      <c r="D499" s="71">
        <v>3.9420299999999999</v>
      </c>
      <c r="E499" s="70">
        <v>0</v>
      </c>
      <c r="F499" s="70">
        <v>37</v>
      </c>
      <c r="G499" s="66">
        <v>3320</v>
      </c>
      <c r="I499" s="53"/>
      <c r="J499" s="53"/>
      <c r="K499" s="53"/>
      <c r="M499" s="53"/>
      <c r="N499" s="53"/>
    </row>
    <row r="500" spans="1:14">
      <c r="A500" s="69" t="s">
        <v>447</v>
      </c>
      <c r="B500" s="69" t="s">
        <v>553</v>
      </c>
      <c r="C500" s="69" t="s">
        <v>551</v>
      </c>
      <c r="D500" s="71" t="s">
        <v>543</v>
      </c>
      <c r="E500" s="70">
        <v>0</v>
      </c>
      <c r="F500" s="70">
        <v>76</v>
      </c>
      <c r="G500" s="66">
        <v>2210</v>
      </c>
      <c r="I500" s="53"/>
      <c r="J500" s="53"/>
      <c r="K500" s="53"/>
      <c r="M500" s="53"/>
    </row>
    <row r="501" spans="1:14">
      <c r="A501" s="69" t="s">
        <v>447</v>
      </c>
      <c r="B501" s="69" t="s">
        <v>552</v>
      </c>
      <c r="C501" s="69" t="s">
        <v>551</v>
      </c>
      <c r="D501" s="71" t="s">
        <v>543</v>
      </c>
      <c r="E501" s="70">
        <v>0</v>
      </c>
      <c r="F501" s="70">
        <v>80</v>
      </c>
      <c r="G501" s="66">
        <v>2410</v>
      </c>
      <c r="I501" s="53"/>
      <c r="J501" s="53"/>
      <c r="K501" s="53"/>
      <c r="M501" s="53"/>
    </row>
    <row r="502" spans="1:14">
      <c r="A502" s="69" t="s">
        <v>447</v>
      </c>
      <c r="B502" s="69" t="s">
        <v>550</v>
      </c>
      <c r="C502" s="69" t="s">
        <v>549</v>
      </c>
      <c r="D502" s="71" t="s">
        <v>543</v>
      </c>
      <c r="E502" s="70">
        <v>0</v>
      </c>
      <c r="F502" s="70">
        <v>81</v>
      </c>
      <c r="G502" s="66">
        <v>2210</v>
      </c>
      <c r="M502" s="53"/>
    </row>
    <row r="503" spans="1:14">
      <c r="A503" s="69" t="s">
        <v>447</v>
      </c>
      <c r="B503" s="69" t="s">
        <v>548</v>
      </c>
      <c r="C503" s="69" t="s">
        <v>547</v>
      </c>
      <c r="D503" s="71" t="s">
        <v>543</v>
      </c>
      <c r="E503" s="70">
        <v>0</v>
      </c>
      <c r="F503" s="70">
        <v>80</v>
      </c>
      <c r="G503" s="66">
        <v>2410</v>
      </c>
      <c r="M503" s="53"/>
    </row>
    <row r="504" spans="1:14">
      <c r="A504" s="69" t="s">
        <v>447</v>
      </c>
      <c r="B504" s="69" t="s">
        <v>546</v>
      </c>
      <c r="C504" s="69" t="s">
        <v>544</v>
      </c>
      <c r="D504" s="71" t="s">
        <v>543</v>
      </c>
      <c r="E504" s="70">
        <v>0</v>
      </c>
      <c r="F504" s="70">
        <v>161</v>
      </c>
      <c r="G504" s="66">
        <v>2310</v>
      </c>
      <c r="M504" s="53"/>
    </row>
    <row r="505" spans="1:14">
      <c r="A505" s="69" t="s">
        <v>447</v>
      </c>
      <c r="B505" s="69" t="s">
        <v>545</v>
      </c>
      <c r="C505" s="69" t="s">
        <v>544</v>
      </c>
      <c r="D505" s="71" t="s">
        <v>543</v>
      </c>
      <c r="E505" s="70">
        <v>0</v>
      </c>
      <c r="F505" s="70">
        <v>160</v>
      </c>
      <c r="G505" s="66">
        <v>2310</v>
      </c>
      <c r="M505" s="53"/>
    </row>
    <row r="506" spans="1:14">
      <c r="A506" s="69" t="s">
        <v>374</v>
      </c>
      <c r="B506" s="69" t="s">
        <v>542</v>
      </c>
      <c r="C506" s="69" t="s">
        <v>536</v>
      </c>
      <c r="D506" s="71" t="s">
        <v>533</v>
      </c>
      <c r="E506" s="70">
        <v>8</v>
      </c>
      <c r="F506" s="70">
        <v>68</v>
      </c>
      <c r="G506" s="66">
        <v>4110</v>
      </c>
      <c r="M506" s="53"/>
    </row>
    <row r="507" spans="1:14">
      <c r="A507" s="73" t="s">
        <v>383</v>
      </c>
      <c r="B507" s="73" t="s">
        <v>541</v>
      </c>
      <c r="C507" s="73" t="s">
        <v>536</v>
      </c>
      <c r="D507" s="71">
        <v>3.9500099999999998</v>
      </c>
      <c r="E507" s="70">
        <v>57</v>
      </c>
      <c r="F507" s="70">
        <v>823</v>
      </c>
      <c r="G507" s="66">
        <v>2340</v>
      </c>
      <c r="I507" s="53"/>
      <c r="J507" s="53"/>
      <c r="K507" s="53"/>
      <c r="M507" s="53"/>
    </row>
    <row r="508" spans="1:14">
      <c r="A508" s="69" t="s">
        <v>393</v>
      </c>
      <c r="B508" s="69" t="s">
        <v>540</v>
      </c>
      <c r="C508" s="69" t="s">
        <v>536</v>
      </c>
      <c r="D508" s="71" t="s">
        <v>533</v>
      </c>
      <c r="E508" s="70">
        <v>428</v>
      </c>
      <c r="F508" s="70">
        <v>1514</v>
      </c>
      <c r="G508" s="66">
        <v>1430</v>
      </c>
      <c r="I508" s="53"/>
      <c r="J508" s="53"/>
      <c r="K508" s="53"/>
      <c r="M508" s="53"/>
    </row>
    <row r="509" spans="1:14">
      <c r="A509" s="69" t="s">
        <v>451</v>
      </c>
      <c r="B509" s="69" t="s">
        <v>539</v>
      </c>
      <c r="C509" s="69" t="s">
        <v>536</v>
      </c>
      <c r="D509" s="71">
        <v>3.9500099999999998</v>
      </c>
      <c r="E509" s="70">
        <v>0</v>
      </c>
      <c r="F509" s="70">
        <v>99</v>
      </c>
      <c r="G509" s="66">
        <v>2420</v>
      </c>
      <c r="I509" s="53"/>
      <c r="J509" s="53"/>
      <c r="K509" s="53"/>
    </row>
    <row r="510" spans="1:14">
      <c r="A510" s="69" t="s">
        <v>447</v>
      </c>
      <c r="B510" s="69" t="s">
        <v>538</v>
      </c>
      <c r="C510" s="69" t="s">
        <v>536</v>
      </c>
      <c r="D510" s="71" t="s">
        <v>533</v>
      </c>
      <c r="E510" s="70">
        <v>0</v>
      </c>
      <c r="F510" s="70">
        <v>289</v>
      </c>
      <c r="G510" s="66">
        <v>1210</v>
      </c>
      <c r="I510" s="53"/>
      <c r="J510" s="53"/>
      <c r="K510" s="53"/>
    </row>
    <row r="511" spans="1:14">
      <c r="A511" s="69" t="s">
        <v>527</v>
      </c>
      <c r="B511" s="69" t="s">
        <v>537</v>
      </c>
      <c r="C511" s="69" t="s">
        <v>536</v>
      </c>
      <c r="D511" s="71" t="s">
        <v>533</v>
      </c>
      <c r="E511" s="70">
        <v>0</v>
      </c>
      <c r="F511" s="70">
        <v>357</v>
      </c>
      <c r="G511" s="66">
        <v>1210</v>
      </c>
      <c r="I511" s="53"/>
      <c r="J511" s="53"/>
      <c r="K511" s="53"/>
    </row>
    <row r="512" spans="1:14" s="53" customFormat="1">
      <c r="A512" s="69" t="s">
        <v>535</v>
      </c>
      <c r="B512" s="69" t="s">
        <v>534</v>
      </c>
      <c r="C512" s="69" t="s">
        <v>525</v>
      </c>
      <c r="D512" s="71" t="s">
        <v>533</v>
      </c>
      <c r="E512" s="70">
        <v>93</v>
      </c>
      <c r="F512" s="70">
        <v>391</v>
      </c>
      <c r="G512" s="66">
        <v>1160</v>
      </c>
      <c r="L512" s="52"/>
      <c r="M512" s="52"/>
      <c r="N512" s="52"/>
    </row>
    <row r="513" spans="1:14" s="53" customFormat="1">
      <c r="A513" s="69" t="s">
        <v>451</v>
      </c>
      <c r="B513" s="69" t="s">
        <v>532</v>
      </c>
      <c r="C513" s="69" t="s">
        <v>525</v>
      </c>
      <c r="D513" s="71">
        <v>3.9500199999999999</v>
      </c>
      <c r="E513" s="70">
        <v>0</v>
      </c>
      <c r="F513" s="70">
        <v>63</v>
      </c>
      <c r="G513" s="66">
        <v>1220</v>
      </c>
      <c r="M513" s="52"/>
      <c r="N513" s="52"/>
    </row>
    <row r="514" spans="1:14" s="53" customFormat="1">
      <c r="A514" s="69" t="s">
        <v>447</v>
      </c>
      <c r="B514" s="69" t="s">
        <v>531</v>
      </c>
      <c r="C514" s="69" t="s">
        <v>525</v>
      </c>
      <c r="D514" s="71" t="s">
        <v>524</v>
      </c>
      <c r="E514" s="70">
        <v>0</v>
      </c>
      <c r="F514" s="70">
        <v>177</v>
      </c>
      <c r="G514" s="66">
        <v>1210</v>
      </c>
      <c r="M514" s="52"/>
      <c r="N514" s="52"/>
    </row>
    <row r="515" spans="1:14">
      <c r="A515" s="81" t="s">
        <v>527</v>
      </c>
      <c r="B515" s="81" t="s">
        <v>530</v>
      </c>
      <c r="C515" s="81" t="s">
        <v>525</v>
      </c>
      <c r="D515" s="80" t="s">
        <v>524</v>
      </c>
      <c r="E515" s="79">
        <v>0</v>
      </c>
      <c r="F515" s="79">
        <v>452</v>
      </c>
      <c r="G515" s="78">
        <v>1210</v>
      </c>
      <c r="L515" s="53"/>
      <c r="N515" s="53"/>
    </row>
    <row r="516" spans="1:14">
      <c r="A516" s="69" t="s">
        <v>527</v>
      </c>
      <c r="B516" s="69" t="s">
        <v>529</v>
      </c>
      <c r="C516" s="69" t="s">
        <v>525</v>
      </c>
      <c r="D516" s="71" t="s">
        <v>524</v>
      </c>
      <c r="E516" s="70">
        <v>0</v>
      </c>
      <c r="F516" s="70">
        <v>68</v>
      </c>
      <c r="G516" s="66">
        <v>1210</v>
      </c>
      <c r="N516" s="53"/>
    </row>
    <row r="517" spans="1:14">
      <c r="A517" s="77" t="s">
        <v>527</v>
      </c>
      <c r="B517" s="77" t="s">
        <v>528</v>
      </c>
      <c r="C517" s="77" t="s">
        <v>525</v>
      </c>
      <c r="D517" s="76" t="s">
        <v>524</v>
      </c>
      <c r="E517" s="75">
        <v>0</v>
      </c>
      <c r="F517" s="75">
        <v>115</v>
      </c>
      <c r="G517" s="74">
        <v>1210</v>
      </c>
      <c r="N517" s="53"/>
    </row>
    <row r="518" spans="1:14">
      <c r="A518" s="69" t="s">
        <v>527</v>
      </c>
      <c r="B518" s="69" t="s">
        <v>526</v>
      </c>
      <c r="C518" s="69" t="s">
        <v>525</v>
      </c>
      <c r="D518" s="71" t="s">
        <v>524</v>
      </c>
      <c r="E518" s="70">
        <v>0</v>
      </c>
      <c r="F518" s="70">
        <v>118</v>
      </c>
      <c r="G518" s="66">
        <v>1210</v>
      </c>
    </row>
    <row r="519" spans="1:14">
      <c r="A519" s="69" t="s">
        <v>447</v>
      </c>
      <c r="B519" s="69" t="s">
        <v>523</v>
      </c>
      <c r="C519" s="69" t="s">
        <v>521</v>
      </c>
      <c r="D519" s="71" t="s">
        <v>520</v>
      </c>
      <c r="E519" s="70">
        <v>0</v>
      </c>
      <c r="F519" s="70">
        <v>445</v>
      </c>
      <c r="G519" s="66">
        <v>2210</v>
      </c>
    </row>
    <row r="520" spans="1:14" s="53" customFormat="1">
      <c r="A520" s="69" t="s">
        <v>447</v>
      </c>
      <c r="B520" s="69" t="s">
        <v>522</v>
      </c>
      <c r="C520" s="69" t="s">
        <v>521</v>
      </c>
      <c r="D520" s="71" t="s">
        <v>520</v>
      </c>
      <c r="E520" s="70">
        <v>0</v>
      </c>
      <c r="F520" s="70">
        <v>1694</v>
      </c>
      <c r="G520" s="66">
        <v>2410</v>
      </c>
      <c r="I520" s="52"/>
      <c r="J520" s="52"/>
      <c r="K520" s="52"/>
      <c r="N520" s="52"/>
    </row>
    <row r="521" spans="1:14" s="53" customFormat="1">
      <c r="A521" s="69"/>
      <c r="B521" s="69"/>
      <c r="C521" s="69"/>
      <c r="D521" s="68" t="s">
        <v>370</v>
      </c>
      <c r="E521" s="67">
        <f>SUM(E438:E520)</f>
        <v>884</v>
      </c>
      <c r="F521" s="67">
        <f>SUM(F438:F520)</f>
        <v>87851</v>
      </c>
      <c r="G521" s="66"/>
      <c r="I521" s="52"/>
      <c r="J521" s="52"/>
      <c r="K521" s="52"/>
      <c r="N521" s="52"/>
    </row>
    <row r="522" spans="1:14" s="53" customFormat="1">
      <c r="A522" s="69"/>
      <c r="B522" s="69"/>
      <c r="C522" s="69"/>
      <c r="D522" s="68" t="s">
        <v>519</v>
      </c>
      <c r="E522" s="67">
        <f>E252+E268+E287+E295+E304+E352+E435+E521</f>
        <v>22736</v>
      </c>
      <c r="F522" s="67">
        <f>F252+F268+F287+F295+F304+F352+F435+F521</f>
        <v>321409</v>
      </c>
      <c r="G522" s="66"/>
      <c r="I522" s="52"/>
      <c r="J522" s="52"/>
      <c r="K522" s="52"/>
      <c r="M522" s="52"/>
      <c r="N522" s="52"/>
    </row>
    <row r="523" spans="1:14" s="53" customFormat="1">
      <c r="A523" s="69"/>
      <c r="B523" s="69"/>
      <c r="C523" s="69"/>
      <c r="D523" s="71"/>
      <c r="E523" s="70"/>
      <c r="F523" s="70"/>
      <c r="G523" s="66"/>
      <c r="I523" s="52"/>
      <c r="J523" s="52"/>
      <c r="K523" s="52"/>
      <c r="M523" s="52"/>
    </row>
    <row r="524" spans="1:14" s="53" customFormat="1">
      <c r="A524" s="82" t="s">
        <v>518</v>
      </c>
      <c r="B524" s="69"/>
      <c r="C524" s="69"/>
      <c r="D524" s="71"/>
      <c r="E524" s="70"/>
      <c r="F524" s="70"/>
      <c r="G524" s="66"/>
      <c r="I524" s="59"/>
      <c r="J524" s="54"/>
      <c r="K524" s="54"/>
      <c r="M524" s="52"/>
    </row>
    <row r="525" spans="1:14" s="53" customFormat="1">
      <c r="A525" s="82" t="s">
        <v>517</v>
      </c>
      <c r="B525" s="69"/>
      <c r="C525" s="69"/>
      <c r="D525" s="71"/>
      <c r="E525" s="70"/>
      <c r="F525" s="70"/>
      <c r="G525" s="66"/>
      <c r="I525" s="59"/>
      <c r="J525" s="54"/>
      <c r="K525" s="54"/>
      <c r="M525" s="52"/>
    </row>
    <row r="526" spans="1:14" s="53" customFormat="1">
      <c r="A526" s="69" t="s">
        <v>451</v>
      </c>
      <c r="B526" s="69" t="s">
        <v>516</v>
      </c>
      <c r="C526" s="69" t="s">
        <v>515</v>
      </c>
      <c r="D526" s="71" t="s">
        <v>512</v>
      </c>
      <c r="E526" s="70">
        <v>0</v>
      </c>
      <c r="F526" s="70">
        <v>51723</v>
      </c>
      <c r="G526" s="66">
        <v>2220</v>
      </c>
      <c r="I526" s="59"/>
      <c r="M526" s="52"/>
    </row>
    <row r="527" spans="1:14" s="53" customFormat="1">
      <c r="A527" s="69" t="s">
        <v>451</v>
      </c>
      <c r="B527" s="69" t="s">
        <v>514</v>
      </c>
      <c r="C527" s="69" t="s">
        <v>513</v>
      </c>
      <c r="D527" s="71" t="s">
        <v>512</v>
      </c>
      <c r="E527" s="70">
        <v>0</v>
      </c>
      <c r="F527" s="70">
        <v>66785</v>
      </c>
      <c r="G527" s="66">
        <v>2420</v>
      </c>
      <c r="I527" s="59"/>
    </row>
    <row r="528" spans="1:14">
      <c r="A528" s="69" t="s">
        <v>443</v>
      </c>
      <c r="B528" s="69" t="s">
        <v>511</v>
      </c>
      <c r="C528" s="69" t="s">
        <v>510</v>
      </c>
      <c r="D528" s="71" t="s">
        <v>489</v>
      </c>
      <c r="E528" s="70">
        <v>491</v>
      </c>
      <c r="F528" s="70">
        <v>3315</v>
      </c>
      <c r="G528" s="66">
        <v>4320</v>
      </c>
      <c r="I528" s="53"/>
      <c r="J528" s="53"/>
      <c r="K528" s="53"/>
      <c r="M528" s="53"/>
      <c r="N528" s="53"/>
    </row>
    <row r="529" spans="1:14">
      <c r="A529" s="69" t="s">
        <v>443</v>
      </c>
      <c r="B529" s="69" t="s">
        <v>509</v>
      </c>
      <c r="C529" s="69" t="s">
        <v>508</v>
      </c>
      <c r="D529" s="71" t="s">
        <v>489</v>
      </c>
      <c r="E529" s="70">
        <v>518</v>
      </c>
      <c r="F529" s="70">
        <v>3647</v>
      </c>
      <c r="G529" s="66">
        <v>4320</v>
      </c>
      <c r="I529" s="59"/>
      <c r="J529" s="53"/>
      <c r="K529" s="53"/>
      <c r="M529" s="53"/>
      <c r="N529" s="53"/>
    </row>
    <row r="530" spans="1:14">
      <c r="A530" s="69" t="s">
        <v>386</v>
      </c>
      <c r="B530" s="69" t="s">
        <v>507</v>
      </c>
      <c r="C530" s="69" t="s">
        <v>503</v>
      </c>
      <c r="D530" s="71" t="s">
        <v>489</v>
      </c>
      <c r="E530" s="70">
        <v>163</v>
      </c>
      <c r="F530" s="70">
        <v>1001</v>
      </c>
      <c r="G530" s="66">
        <v>4630</v>
      </c>
      <c r="I530" s="59"/>
      <c r="J530" s="54"/>
      <c r="K530" s="54"/>
      <c r="M530" s="53"/>
      <c r="N530" s="53"/>
    </row>
    <row r="531" spans="1:14">
      <c r="A531" s="69" t="s">
        <v>443</v>
      </c>
      <c r="B531" s="69" t="s">
        <v>506</v>
      </c>
      <c r="C531" s="69" t="s">
        <v>503</v>
      </c>
      <c r="D531" s="71" t="s">
        <v>489</v>
      </c>
      <c r="E531" s="70">
        <v>162</v>
      </c>
      <c r="F531" s="70">
        <v>1213</v>
      </c>
      <c r="G531" s="66">
        <v>4520</v>
      </c>
      <c r="I531" s="54"/>
      <c r="J531" s="54"/>
      <c r="K531" s="54"/>
      <c r="M531" s="53"/>
    </row>
    <row r="532" spans="1:14">
      <c r="A532" s="69" t="s">
        <v>443</v>
      </c>
      <c r="B532" s="69" t="s">
        <v>505</v>
      </c>
      <c r="C532" s="69" t="s">
        <v>503</v>
      </c>
      <c r="D532" s="71" t="s">
        <v>489</v>
      </c>
      <c r="E532" s="70">
        <v>284</v>
      </c>
      <c r="F532" s="70">
        <v>1840</v>
      </c>
      <c r="G532" s="66">
        <v>4630</v>
      </c>
      <c r="I532" s="54"/>
      <c r="J532" s="54"/>
      <c r="K532" s="54"/>
      <c r="M532" s="53"/>
    </row>
    <row r="533" spans="1:14">
      <c r="A533" s="73" t="s">
        <v>374</v>
      </c>
      <c r="B533" s="73" t="s">
        <v>504</v>
      </c>
      <c r="C533" s="73" t="s">
        <v>503</v>
      </c>
      <c r="D533" s="71">
        <v>4.14201</v>
      </c>
      <c r="E533" s="70">
        <v>408</v>
      </c>
      <c r="F533" s="70">
        <v>3296</v>
      </c>
      <c r="G533" s="66">
        <v>4610</v>
      </c>
      <c r="I533" s="54"/>
      <c r="J533" s="54"/>
      <c r="K533" s="54"/>
      <c r="M533" s="53"/>
    </row>
    <row r="534" spans="1:14">
      <c r="A534" s="69" t="s">
        <v>397</v>
      </c>
      <c r="B534" s="69" t="s">
        <v>502</v>
      </c>
      <c r="C534" s="69" t="s">
        <v>501</v>
      </c>
      <c r="D534" s="71" t="s">
        <v>489</v>
      </c>
      <c r="E534" s="70">
        <v>108</v>
      </c>
      <c r="F534" s="70">
        <v>1008</v>
      </c>
      <c r="G534" s="66">
        <v>2250</v>
      </c>
      <c r="I534" s="59"/>
      <c r="J534" s="54"/>
      <c r="K534" s="54"/>
      <c r="M534" s="53"/>
    </row>
    <row r="535" spans="1:14">
      <c r="A535" s="69" t="s">
        <v>397</v>
      </c>
      <c r="B535" s="69" t="s">
        <v>500</v>
      </c>
      <c r="C535" s="69" t="s">
        <v>499</v>
      </c>
      <c r="D535" s="71" t="s">
        <v>489</v>
      </c>
      <c r="E535" s="70">
        <v>99</v>
      </c>
      <c r="F535" s="70">
        <v>1963</v>
      </c>
      <c r="G535" s="66">
        <v>2450</v>
      </c>
      <c r="I535" s="59"/>
      <c r="J535" s="54"/>
      <c r="K535" s="54"/>
    </row>
    <row r="536" spans="1:14">
      <c r="A536" s="69" t="s">
        <v>397</v>
      </c>
      <c r="B536" s="69" t="s">
        <v>498</v>
      </c>
      <c r="C536" s="69" t="s">
        <v>497</v>
      </c>
      <c r="D536" s="71" t="s">
        <v>489</v>
      </c>
      <c r="E536" s="70">
        <v>108</v>
      </c>
      <c r="F536" s="70">
        <v>1926</v>
      </c>
      <c r="G536" s="66">
        <v>2250</v>
      </c>
      <c r="I536" s="59"/>
      <c r="J536" s="54"/>
      <c r="K536" s="54"/>
    </row>
    <row r="537" spans="1:14">
      <c r="A537" s="69" t="s">
        <v>397</v>
      </c>
      <c r="B537" s="69" t="s">
        <v>496</v>
      </c>
      <c r="C537" s="69" t="s">
        <v>495</v>
      </c>
      <c r="D537" s="71" t="s">
        <v>489</v>
      </c>
      <c r="E537" s="70">
        <v>99</v>
      </c>
      <c r="F537" s="70">
        <v>924</v>
      </c>
      <c r="G537" s="66">
        <v>2450</v>
      </c>
      <c r="I537" s="59"/>
      <c r="J537" s="54"/>
      <c r="K537" s="54"/>
    </row>
    <row r="538" spans="1:14">
      <c r="A538" s="69" t="s">
        <v>374</v>
      </c>
      <c r="B538" s="69" t="s">
        <v>494</v>
      </c>
      <c r="C538" s="69" t="s">
        <v>492</v>
      </c>
      <c r="D538" s="71" t="s">
        <v>489</v>
      </c>
      <c r="E538" s="70">
        <v>1124</v>
      </c>
      <c r="F538" s="70">
        <v>10872</v>
      </c>
      <c r="G538" s="66">
        <v>4310</v>
      </c>
      <c r="I538" s="59"/>
      <c r="J538" s="54"/>
      <c r="K538" s="54"/>
    </row>
    <row r="539" spans="1:14" s="53" customFormat="1">
      <c r="A539" s="69" t="s">
        <v>397</v>
      </c>
      <c r="B539" s="69" t="s">
        <v>493</v>
      </c>
      <c r="C539" s="69" t="s">
        <v>492</v>
      </c>
      <c r="D539" s="71" t="s">
        <v>489</v>
      </c>
      <c r="E539" s="70">
        <v>642</v>
      </c>
      <c r="F539" s="70">
        <v>5990</v>
      </c>
      <c r="G539" s="66">
        <v>2250</v>
      </c>
      <c r="I539" s="59"/>
      <c r="J539" s="54"/>
      <c r="K539" s="54"/>
      <c r="M539" s="52"/>
      <c r="N539" s="52"/>
    </row>
    <row r="540" spans="1:14" s="53" customFormat="1">
      <c r="A540" s="69" t="s">
        <v>397</v>
      </c>
      <c r="B540" s="69" t="s">
        <v>491</v>
      </c>
      <c r="C540" s="69" t="s">
        <v>490</v>
      </c>
      <c r="D540" s="71" t="s">
        <v>489</v>
      </c>
      <c r="E540" s="70">
        <v>641</v>
      </c>
      <c r="F540" s="70">
        <v>5725</v>
      </c>
      <c r="G540" s="66">
        <v>2450</v>
      </c>
      <c r="I540" s="59"/>
      <c r="J540" s="54"/>
      <c r="K540" s="54"/>
      <c r="M540" s="52"/>
      <c r="N540" s="52"/>
    </row>
    <row r="541" spans="1:14" s="53" customFormat="1">
      <c r="A541" s="69" t="s">
        <v>443</v>
      </c>
      <c r="B541" s="69" t="s">
        <v>488</v>
      </c>
      <c r="C541" s="69" t="s">
        <v>487</v>
      </c>
      <c r="D541" s="71" t="s">
        <v>483</v>
      </c>
      <c r="E541" s="70">
        <v>506</v>
      </c>
      <c r="F541" s="70">
        <v>4706</v>
      </c>
      <c r="G541" s="66">
        <v>4420</v>
      </c>
      <c r="I541" s="54"/>
      <c r="J541" s="54"/>
      <c r="K541" s="54"/>
      <c r="M541" s="52"/>
      <c r="N541" s="52"/>
    </row>
    <row r="542" spans="1:14" s="53" customFormat="1">
      <c r="A542" s="69" t="s">
        <v>443</v>
      </c>
      <c r="B542" s="69" t="s">
        <v>486</v>
      </c>
      <c r="C542" s="69" t="s">
        <v>484</v>
      </c>
      <c r="D542" s="71" t="s">
        <v>483</v>
      </c>
      <c r="E542" s="70">
        <v>519</v>
      </c>
      <c r="F542" s="70">
        <v>3956</v>
      </c>
      <c r="G542" s="66">
        <v>4520</v>
      </c>
      <c r="I542" s="59"/>
      <c r="J542" s="54"/>
      <c r="K542" s="54"/>
      <c r="M542" s="52"/>
    </row>
    <row r="543" spans="1:14">
      <c r="A543" s="69" t="s">
        <v>374</v>
      </c>
      <c r="B543" s="69" t="s">
        <v>485</v>
      </c>
      <c r="C543" s="69" t="s">
        <v>484</v>
      </c>
      <c r="D543" s="71" t="s">
        <v>483</v>
      </c>
      <c r="E543" s="70">
        <v>615</v>
      </c>
      <c r="F543" s="70">
        <v>6602</v>
      </c>
      <c r="G543" s="66">
        <v>4510</v>
      </c>
      <c r="I543" s="54"/>
      <c r="J543" s="54"/>
      <c r="K543" s="54"/>
      <c r="N543" s="53"/>
    </row>
    <row r="544" spans="1:14">
      <c r="A544" s="69" t="s">
        <v>397</v>
      </c>
      <c r="B544" s="69" t="s">
        <v>482</v>
      </c>
      <c r="C544" s="69" t="s">
        <v>481</v>
      </c>
      <c r="D544" s="71" t="s">
        <v>480</v>
      </c>
      <c r="E544" s="70">
        <v>558</v>
      </c>
      <c r="F544" s="70">
        <v>5142</v>
      </c>
      <c r="G544" s="66">
        <v>2450</v>
      </c>
      <c r="I544" s="54"/>
      <c r="J544" s="54"/>
      <c r="K544" s="54"/>
      <c r="N544" s="53"/>
    </row>
    <row r="545" spans="1:14">
      <c r="A545" s="69" t="s">
        <v>393</v>
      </c>
      <c r="B545" s="69" t="s">
        <v>479</v>
      </c>
      <c r="C545" s="69" t="s">
        <v>478</v>
      </c>
      <c r="D545" s="71" t="s">
        <v>477</v>
      </c>
      <c r="E545" s="70">
        <v>900</v>
      </c>
      <c r="F545" s="70">
        <v>15773</v>
      </c>
      <c r="G545" s="66">
        <v>3330</v>
      </c>
      <c r="I545" s="54"/>
      <c r="J545" s="54"/>
      <c r="K545" s="54"/>
      <c r="N545" s="53"/>
    </row>
    <row r="546" spans="1:14">
      <c r="A546" s="69" t="s">
        <v>443</v>
      </c>
      <c r="B546" s="69" t="s">
        <v>476</v>
      </c>
      <c r="C546" s="69" t="s">
        <v>475</v>
      </c>
      <c r="D546" s="71" t="s">
        <v>464</v>
      </c>
      <c r="E546" s="70">
        <v>130</v>
      </c>
      <c r="F546" s="70">
        <v>1061</v>
      </c>
      <c r="G546" s="66">
        <v>4220</v>
      </c>
      <c r="I546" s="54"/>
      <c r="J546" s="54"/>
      <c r="K546" s="54"/>
      <c r="M546" s="53"/>
    </row>
    <row r="547" spans="1:14">
      <c r="A547" s="69" t="s">
        <v>386</v>
      </c>
      <c r="B547" s="69" t="s">
        <v>474</v>
      </c>
      <c r="C547" s="69" t="s">
        <v>472</v>
      </c>
      <c r="D547" s="71" t="s">
        <v>464</v>
      </c>
      <c r="E547" s="70">
        <v>134</v>
      </c>
      <c r="F547" s="70">
        <v>1056</v>
      </c>
      <c r="G547" s="66">
        <v>4230</v>
      </c>
      <c r="I547" s="54"/>
      <c r="J547" s="54"/>
      <c r="K547" s="54"/>
      <c r="M547" s="53"/>
    </row>
    <row r="548" spans="1:14">
      <c r="A548" s="69" t="s">
        <v>374</v>
      </c>
      <c r="B548" s="69" t="s">
        <v>473</v>
      </c>
      <c r="C548" s="69" t="s">
        <v>472</v>
      </c>
      <c r="D548" s="71" t="s">
        <v>464</v>
      </c>
      <c r="E548" s="70">
        <v>108</v>
      </c>
      <c r="F548" s="70">
        <v>1091</v>
      </c>
      <c r="G548" s="66">
        <v>4510</v>
      </c>
      <c r="I548" s="54"/>
      <c r="J548" s="54"/>
      <c r="K548" s="54"/>
      <c r="M548" s="53"/>
    </row>
    <row r="549" spans="1:14">
      <c r="A549" s="69" t="s">
        <v>374</v>
      </c>
      <c r="B549" s="69" t="s">
        <v>471</v>
      </c>
      <c r="C549" s="69" t="s">
        <v>468</v>
      </c>
      <c r="D549" s="71" t="s">
        <v>464</v>
      </c>
      <c r="E549" s="70">
        <v>123</v>
      </c>
      <c r="F549" s="70">
        <v>733</v>
      </c>
      <c r="G549" s="66">
        <v>3250</v>
      </c>
      <c r="I549" s="54"/>
      <c r="J549" s="54"/>
      <c r="K549" s="54"/>
    </row>
    <row r="550" spans="1:14">
      <c r="A550" s="69" t="s">
        <v>397</v>
      </c>
      <c r="B550" s="69" t="s">
        <v>470</v>
      </c>
      <c r="C550" s="69" t="s">
        <v>468</v>
      </c>
      <c r="D550" s="71" t="s">
        <v>464</v>
      </c>
      <c r="E550" s="70">
        <v>54</v>
      </c>
      <c r="F550" s="70">
        <v>504</v>
      </c>
      <c r="G550" s="66">
        <v>2450</v>
      </c>
      <c r="I550" s="54"/>
      <c r="J550" s="54"/>
      <c r="K550" s="54"/>
    </row>
    <row r="551" spans="1:14">
      <c r="A551" s="69" t="s">
        <v>397</v>
      </c>
      <c r="B551" s="69" t="s">
        <v>469</v>
      </c>
      <c r="C551" s="69" t="s">
        <v>468</v>
      </c>
      <c r="D551" s="71" t="s">
        <v>464</v>
      </c>
      <c r="E551" s="70">
        <v>80</v>
      </c>
      <c r="F551" s="70">
        <v>1109</v>
      </c>
      <c r="G551" s="66">
        <v>3250</v>
      </c>
      <c r="I551" s="54"/>
      <c r="J551" s="54"/>
      <c r="K551" s="54"/>
    </row>
    <row r="552" spans="1:14">
      <c r="A552" s="69" t="s">
        <v>397</v>
      </c>
      <c r="B552" s="69" t="s">
        <v>467</v>
      </c>
      <c r="C552" s="69" t="s">
        <v>465</v>
      </c>
      <c r="D552" s="71" t="s">
        <v>464</v>
      </c>
      <c r="E552" s="70">
        <v>95</v>
      </c>
      <c r="F552" s="70">
        <v>840</v>
      </c>
      <c r="G552" s="66">
        <v>2450</v>
      </c>
      <c r="I552" s="54"/>
      <c r="J552" s="54"/>
      <c r="K552" s="54"/>
    </row>
    <row r="553" spans="1:14">
      <c r="A553" s="69" t="s">
        <v>383</v>
      </c>
      <c r="B553" s="69" t="s">
        <v>466</v>
      </c>
      <c r="C553" s="69" t="s">
        <v>465</v>
      </c>
      <c r="D553" s="71" t="s">
        <v>464</v>
      </c>
      <c r="E553" s="70">
        <v>117</v>
      </c>
      <c r="F553" s="70">
        <v>1073</v>
      </c>
      <c r="G553" s="66">
        <v>2140</v>
      </c>
      <c r="I553" s="54"/>
      <c r="J553" s="54"/>
      <c r="K553" s="54"/>
    </row>
    <row r="554" spans="1:14">
      <c r="A554" s="69" t="s">
        <v>397</v>
      </c>
      <c r="B554" s="69" t="s">
        <v>463</v>
      </c>
      <c r="C554" s="69" t="s">
        <v>461</v>
      </c>
      <c r="D554" s="71" t="s">
        <v>460</v>
      </c>
      <c r="E554" s="70">
        <v>130</v>
      </c>
      <c r="F554" s="70">
        <v>2858</v>
      </c>
      <c r="G554" s="66">
        <v>3250</v>
      </c>
      <c r="I554" s="54"/>
      <c r="J554" s="54"/>
      <c r="K554" s="54"/>
    </row>
    <row r="555" spans="1:14">
      <c r="A555" s="69" t="s">
        <v>383</v>
      </c>
      <c r="B555" s="69" t="s">
        <v>462</v>
      </c>
      <c r="C555" s="69" t="s">
        <v>461</v>
      </c>
      <c r="D555" s="71" t="s">
        <v>460</v>
      </c>
      <c r="E555" s="70">
        <v>72</v>
      </c>
      <c r="F555" s="70">
        <v>648</v>
      </c>
      <c r="G555" s="66">
        <v>2140</v>
      </c>
      <c r="I555" s="54"/>
      <c r="J555" s="54"/>
      <c r="K555" s="54"/>
    </row>
    <row r="556" spans="1:14">
      <c r="A556" s="69"/>
      <c r="B556" s="69"/>
      <c r="C556" s="69"/>
      <c r="D556" s="68" t="s">
        <v>370</v>
      </c>
      <c r="E556" s="67">
        <f>SUM(E526:E555)</f>
        <v>8988</v>
      </c>
      <c r="F556" s="67">
        <f>SUM(F526:F555)</f>
        <v>208380</v>
      </c>
      <c r="G556" s="66"/>
      <c r="I556" s="54"/>
      <c r="J556" s="54"/>
      <c r="K556" s="54"/>
    </row>
    <row r="557" spans="1:14">
      <c r="A557" s="69"/>
      <c r="B557" s="69"/>
      <c r="C557" s="69"/>
      <c r="D557" s="71"/>
      <c r="E557" s="70"/>
      <c r="F557" s="70"/>
      <c r="G557" s="66"/>
      <c r="I557" s="54"/>
      <c r="J557" s="54"/>
      <c r="K557" s="54"/>
    </row>
    <row r="558" spans="1:14">
      <c r="A558" s="82" t="s">
        <v>459</v>
      </c>
      <c r="B558" s="69"/>
      <c r="C558" s="69"/>
      <c r="D558" s="71"/>
      <c r="E558" s="70"/>
      <c r="F558" s="70"/>
      <c r="G558" s="66"/>
      <c r="I558" s="54"/>
      <c r="J558" s="54"/>
      <c r="K558" s="54"/>
    </row>
    <row r="559" spans="1:14">
      <c r="A559" s="69" t="s">
        <v>451</v>
      </c>
      <c r="B559" s="69" t="s">
        <v>458</v>
      </c>
      <c r="C559" s="69" t="s">
        <v>456</v>
      </c>
      <c r="D559" s="71" t="s">
        <v>455</v>
      </c>
      <c r="E559" s="70">
        <v>0</v>
      </c>
      <c r="F559" s="70">
        <v>180</v>
      </c>
      <c r="G559" s="66">
        <v>2220</v>
      </c>
      <c r="I559" s="54"/>
      <c r="J559" s="54"/>
      <c r="K559" s="54"/>
    </row>
    <row r="560" spans="1:14">
      <c r="A560" s="69" t="s">
        <v>451</v>
      </c>
      <c r="B560" s="69" t="s">
        <v>457</v>
      </c>
      <c r="C560" s="69" t="s">
        <v>456</v>
      </c>
      <c r="D560" s="71" t="s">
        <v>455</v>
      </c>
      <c r="E560" s="70">
        <v>0</v>
      </c>
      <c r="F560" s="70">
        <v>173</v>
      </c>
      <c r="G560" s="66">
        <v>2420</v>
      </c>
      <c r="I560" s="54"/>
      <c r="J560" s="54"/>
      <c r="K560" s="54"/>
    </row>
    <row r="561" spans="1:11">
      <c r="A561" s="69"/>
      <c r="B561" s="69"/>
      <c r="C561" s="69"/>
      <c r="D561" s="68" t="s">
        <v>370</v>
      </c>
      <c r="E561" s="67">
        <f>SUM(E559:E560)</f>
        <v>0</v>
      </c>
      <c r="F561" s="67">
        <f>SUM(F559:F560)</f>
        <v>353</v>
      </c>
      <c r="G561" s="66"/>
      <c r="I561" s="54"/>
      <c r="J561" s="54"/>
      <c r="K561" s="54"/>
    </row>
    <row r="562" spans="1:11">
      <c r="A562" s="69"/>
      <c r="B562" s="69"/>
      <c r="C562" s="69"/>
      <c r="D562" s="71"/>
      <c r="E562" s="70"/>
      <c r="F562" s="70"/>
      <c r="G562" s="66"/>
      <c r="I562" s="54"/>
      <c r="J562" s="54"/>
      <c r="K562" s="54"/>
    </row>
    <row r="563" spans="1:11">
      <c r="A563" s="82" t="s">
        <v>454</v>
      </c>
      <c r="B563" s="69"/>
      <c r="C563" s="69"/>
      <c r="D563" s="71"/>
      <c r="E563" s="70"/>
      <c r="F563" s="70"/>
      <c r="G563" s="66"/>
      <c r="I563" s="54"/>
      <c r="J563" s="54"/>
      <c r="K563" s="54"/>
    </row>
    <row r="564" spans="1:11">
      <c r="A564" s="69" t="s">
        <v>451</v>
      </c>
      <c r="B564" s="69" t="s">
        <v>453</v>
      </c>
      <c r="C564" s="69" t="s">
        <v>452</v>
      </c>
      <c r="D564" s="71" t="s">
        <v>448</v>
      </c>
      <c r="E564" s="70">
        <v>0</v>
      </c>
      <c r="F564" s="70">
        <v>31530</v>
      </c>
      <c r="G564" s="66">
        <v>2120</v>
      </c>
      <c r="I564" s="59"/>
      <c r="J564" s="54"/>
      <c r="K564" s="54"/>
    </row>
    <row r="565" spans="1:11">
      <c r="A565" s="69" t="s">
        <v>451</v>
      </c>
      <c r="B565" s="69" t="s">
        <v>450</v>
      </c>
      <c r="C565" s="69" t="s">
        <v>449</v>
      </c>
      <c r="D565" s="71" t="s">
        <v>448</v>
      </c>
      <c r="E565" s="70">
        <v>0</v>
      </c>
      <c r="F565" s="70">
        <v>11824</v>
      </c>
      <c r="G565" s="66">
        <v>2320</v>
      </c>
      <c r="I565" s="59"/>
      <c r="J565" s="54"/>
      <c r="K565" s="54"/>
    </row>
    <row r="566" spans="1:11">
      <c r="A566" s="69" t="s">
        <v>447</v>
      </c>
      <c r="B566" s="69" t="s">
        <v>446</v>
      </c>
      <c r="C566" s="69" t="s">
        <v>445</v>
      </c>
      <c r="D566" s="71" t="s">
        <v>444</v>
      </c>
      <c r="E566" s="70">
        <v>0</v>
      </c>
      <c r="F566" s="70">
        <v>12008</v>
      </c>
      <c r="G566" s="66">
        <v>3110</v>
      </c>
      <c r="I566" s="59"/>
      <c r="J566" s="54"/>
      <c r="K566" s="54"/>
    </row>
    <row r="567" spans="1:11">
      <c r="A567" s="69" t="s">
        <v>443</v>
      </c>
      <c r="B567" s="69" t="s">
        <v>442</v>
      </c>
      <c r="C567" s="69" t="s">
        <v>441</v>
      </c>
      <c r="D567" s="71" t="s">
        <v>440</v>
      </c>
      <c r="E567" s="70">
        <v>18</v>
      </c>
      <c r="F567" s="70">
        <v>147</v>
      </c>
      <c r="G567" s="66">
        <v>4220</v>
      </c>
      <c r="I567" s="54"/>
      <c r="J567" s="54"/>
      <c r="K567" s="54"/>
    </row>
    <row r="568" spans="1:11">
      <c r="A568" s="81" t="s">
        <v>393</v>
      </c>
      <c r="B568" s="81" t="s">
        <v>439</v>
      </c>
      <c r="C568" s="81" t="s">
        <v>438</v>
      </c>
      <c r="D568" s="80" t="s">
        <v>435</v>
      </c>
      <c r="E568" s="79">
        <v>329</v>
      </c>
      <c r="F568" s="79">
        <v>3409</v>
      </c>
      <c r="G568" s="78">
        <v>3130</v>
      </c>
      <c r="I568" s="54"/>
      <c r="J568" s="54"/>
      <c r="K568" s="54"/>
    </row>
    <row r="569" spans="1:11">
      <c r="A569" s="69" t="s">
        <v>393</v>
      </c>
      <c r="B569" s="69" t="s">
        <v>437</v>
      </c>
      <c r="C569" s="69" t="s">
        <v>436</v>
      </c>
      <c r="D569" s="71" t="s">
        <v>435</v>
      </c>
      <c r="E569" s="70">
        <v>470</v>
      </c>
      <c r="F569" s="70">
        <v>2657</v>
      </c>
      <c r="G569" s="66">
        <v>2130</v>
      </c>
      <c r="I569" s="54"/>
      <c r="J569" s="54"/>
      <c r="K569" s="54"/>
    </row>
    <row r="570" spans="1:11">
      <c r="A570" s="77" t="s">
        <v>374</v>
      </c>
      <c r="B570" s="77" t="s">
        <v>434</v>
      </c>
      <c r="C570" s="77" t="s">
        <v>433</v>
      </c>
      <c r="D570" s="76">
        <v>4.3315010000000003</v>
      </c>
      <c r="E570" s="75">
        <v>34</v>
      </c>
      <c r="F570" s="75">
        <v>261</v>
      </c>
      <c r="G570" s="74">
        <v>4510</v>
      </c>
      <c r="I570" s="54"/>
      <c r="J570" s="54"/>
      <c r="K570" s="54"/>
    </row>
    <row r="571" spans="1:11">
      <c r="A571" s="69" t="s">
        <v>374</v>
      </c>
      <c r="B571" s="69" t="s">
        <v>432</v>
      </c>
      <c r="C571" s="69" t="s">
        <v>431</v>
      </c>
      <c r="D571" s="71" t="s">
        <v>430</v>
      </c>
      <c r="E571" s="70">
        <v>41</v>
      </c>
      <c r="F571" s="70">
        <v>301</v>
      </c>
      <c r="G571" s="66">
        <v>4510</v>
      </c>
      <c r="I571" s="59"/>
      <c r="J571" s="54"/>
      <c r="K571" s="54"/>
    </row>
    <row r="572" spans="1:11">
      <c r="A572" s="69" t="s">
        <v>428</v>
      </c>
      <c r="B572" s="69" t="s">
        <v>429</v>
      </c>
      <c r="C572" s="69" t="s">
        <v>425</v>
      </c>
      <c r="D572" s="71" t="s">
        <v>424</v>
      </c>
      <c r="E572" s="70">
        <v>4</v>
      </c>
      <c r="F572" s="70">
        <v>127</v>
      </c>
      <c r="G572" s="66">
        <v>4240</v>
      </c>
      <c r="I572" s="59"/>
      <c r="J572" s="54"/>
      <c r="K572" s="54"/>
    </row>
    <row r="573" spans="1:11">
      <c r="A573" s="69" t="s">
        <v>428</v>
      </c>
      <c r="B573" s="69" t="s">
        <v>427</v>
      </c>
      <c r="C573" s="69" t="s">
        <v>425</v>
      </c>
      <c r="D573" s="71" t="s">
        <v>424</v>
      </c>
      <c r="E573" s="70">
        <v>3</v>
      </c>
      <c r="F573" s="70">
        <v>62</v>
      </c>
      <c r="G573" s="66">
        <v>4240</v>
      </c>
      <c r="I573" s="59"/>
      <c r="J573" s="54"/>
      <c r="K573" s="54"/>
    </row>
    <row r="574" spans="1:11">
      <c r="A574" s="69" t="s">
        <v>397</v>
      </c>
      <c r="B574" s="69" t="s">
        <v>426</v>
      </c>
      <c r="C574" s="69" t="s">
        <v>425</v>
      </c>
      <c r="D574" s="71" t="s">
        <v>424</v>
      </c>
      <c r="E574" s="70">
        <v>24</v>
      </c>
      <c r="F574" s="70">
        <v>224</v>
      </c>
      <c r="G574" s="66">
        <v>2150</v>
      </c>
      <c r="I574" s="59"/>
      <c r="J574" s="54"/>
      <c r="K574" s="54"/>
    </row>
    <row r="575" spans="1:11">
      <c r="A575" s="69" t="s">
        <v>386</v>
      </c>
      <c r="B575" s="69" t="s">
        <v>423</v>
      </c>
      <c r="C575" s="69" t="s">
        <v>422</v>
      </c>
      <c r="D575" s="71" t="s">
        <v>421</v>
      </c>
      <c r="E575" s="70">
        <v>120</v>
      </c>
      <c r="F575" s="70">
        <v>1457</v>
      </c>
      <c r="G575" s="66">
        <v>4230</v>
      </c>
      <c r="I575" s="59"/>
      <c r="J575" s="54"/>
      <c r="K575" s="54"/>
    </row>
    <row r="576" spans="1:11">
      <c r="A576" s="69" t="s">
        <v>397</v>
      </c>
      <c r="B576" s="69" t="s">
        <v>420</v>
      </c>
      <c r="C576" s="69" t="s">
        <v>419</v>
      </c>
      <c r="D576" s="71" t="s">
        <v>414</v>
      </c>
      <c r="E576" s="70">
        <v>222</v>
      </c>
      <c r="F576" s="70">
        <v>2072</v>
      </c>
      <c r="G576" s="66">
        <v>2150</v>
      </c>
      <c r="I576" s="59"/>
      <c r="J576" s="54"/>
      <c r="K576" s="54"/>
    </row>
    <row r="577" spans="1:11">
      <c r="A577" s="69" t="s">
        <v>397</v>
      </c>
      <c r="B577" s="69" t="s">
        <v>418</v>
      </c>
      <c r="C577" s="69" t="s">
        <v>417</v>
      </c>
      <c r="D577" s="71" t="s">
        <v>414</v>
      </c>
      <c r="E577" s="70">
        <v>118</v>
      </c>
      <c r="F577" s="70">
        <v>1098</v>
      </c>
      <c r="G577" s="66">
        <v>2450</v>
      </c>
      <c r="I577" s="59"/>
      <c r="J577" s="54"/>
      <c r="K577" s="54"/>
    </row>
    <row r="578" spans="1:11">
      <c r="A578" s="69" t="s">
        <v>374</v>
      </c>
      <c r="B578" s="69" t="s">
        <v>416</v>
      </c>
      <c r="C578" s="69" t="s">
        <v>415</v>
      </c>
      <c r="D578" s="71" t="s">
        <v>414</v>
      </c>
      <c r="E578" s="70">
        <v>123</v>
      </c>
      <c r="F578" s="70">
        <v>1156</v>
      </c>
      <c r="G578" s="66">
        <v>3250</v>
      </c>
      <c r="I578" s="59"/>
      <c r="J578" s="54"/>
      <c r="K578" s="54"/>
    </row>
    <row r="579" spans="1:11">
      <c r="A579" s="69" t="s">
        <v>383</v>
      </c>
      <c r="B579" s="69" t="s">
        <v>413</v>
      </c>
      <c r="C579" s="73" t="s">
        <v>412</v>
      </c>
      <c r="D579" s="71">
        <v>4.3322019999999997</v>
      </c>
      <c r="E579" s="70">
        <v>238</v>
      </c>
      <c r="F579" s="70">
        <v>2452</v>
      </c>
      <c r="G579" s="66">
        <v>3340</v>
      </c>
      <c r="I579" s="59"/>
      <c r="J579" s="54"/>
      <c r="K579" s="54"/>
    </row>
    <row r="580" spans="1:11">
      <c r="A580" s="69" t="s">
        <v>383</v>
      </c>
      <c r="B580" s="69" t="s">
        <v>411</v>
      </c>
      <c r="C580" s="69" t="s">
        <v>410</v>
      </c>
      <c r="D580" s="71" t="s">
        <v>409</v>
      </c>
      <c r="E580" s="70">
        <v>177</v>
      </c>
      <c r="F580" s="70">
        <v>1619</v>
      </c>
      <c r="G580" s="66">
        <v>2240</v>
      </c>
      <c r="I580" s="59"/>
      <c r="J580" s="54"/>
      <c r="K580" s="54"/>
    </row>
    <row r="581" spans="1:11">
      <c r="A581" s="69" t="s">
        <v>383</v>
      </c>
      <c r="B581" s="69" t="s">
        <v>408</v>
      </c>
      <c r="C581" s="69" t="s">
        <v>407</v>
      </c>
      <c r="D581" s="71" t="s">
        <v>406</v>
      </c>
      <c r="E581" s="70">
        <v>95</v>
      </c>
      <c r="F581" s="70">
        <v>867</v>
      </c>
      <c r="G581" s="66">
        <v>2340</v>
      </c>
      <c r="I581" s="59"/>
      <c r="J581" s="54"/>
      <c r="K581" s="54"/>
    </row>
    <row r="582" spans="1:11">
      <c r="A582" s="69" t="s">
        <v>383</v>
      </c>
      <c r="B582" s="69" t="s">
        <v>405</v>
      </c>
      <c r="C582" s="69" t="s">
        <v>404</v>
      </c>
      <c r="D582" s="71" t="s">
        <v>403</v>
      </c>
      <c r="E582" s="70">
        <v>288</v>
      </c>
      <c r="F582" s="70">
        <v>2732</v>
      </c>
      <c r="G582" s="66">
        <v>2340</v>
      </c>
      <c r="I582" s="59"/>
      <c r="J582" s="54"/>
      <c r="K582" s="54"/>
    </row>
    <row r="583" spans="1:11">
      <c r="A583" s="69" t="s">
        <v>386</v>
      </c>
      <c r="B583" s="69" t="s">
        <v>402</v>
      </c>
      <c r="C583" s="69" t="s">
        <v>391</v>
      </c>
      <c r="D583" s="71" t="s">
        <v>371</v>
      </c>
      <c r="E583" s="70">
        <v>33</v>
      </c>
      <c r="F583" s="70">
        <v>402</v>
      </c>
      <c r="G583" s="66">
        <v>4230</v>
      </c>
      <c r="I583" s="59"/>
      <c r="J583" s="54"/>
      <c r="K583" s="54"/>
    </row>
    <row r="584" spans="1:11">
      <c r="A584" s="69" t="s">
        <v>374</v>
      </c>
      <c r="B584" s="69" t="s">
        <v>401</v>
      </c>
      <c r="C584" s="69" t="s">
        <v>391</v>
      </c>
      <c r="D584" s="71" t="s">
        <v>371</v>
      </c>
      <c r="E584" s="70">
        <v>205</v>
      </c>
      <c r="F584" s="70">
        <v>1090</v>
      </c>
      <c r="G584" s="66">
        <v>4610</v>
      </c>
      <c r="I584" s="59"/>
      <c r="J584" s="54"/>
      <c r="K584" s="54"/>
    </row>
    <row r="585" spans="1:11">
      <c r="A585" s="69" t="s">
        <v>374</v>
      </c>
      <c r="B585" s="69" t="s">
        <v>400</v>
      </c>
      <c r="C585" s="69" t="s">
        <v>391</v>
      </c>
      <c r="D585" s="71" t="s">
        <v>371</v>
      </c>
      <c r="E585" s="70">
        <v>173</v>
      </c>
      <c r="F585" s="70">
        <v>1545</v>
      </c>
      <c r="G585" s="66">
        <v>3250</v>
      </c>
      <c r="I585" s="59"/>
      <c r="J585" s="54"/>
      <c r="K585" s="54"/>
    </row>
    <row r="586" spans="1:11">
      <c r="A586" s="69" t="s">
        <v>374</v>
      </c>
      <c r="B586" s="69" t="s">
        <v>399</v>
      </c>
      <c r="C586" s="69" t="s">
        <v>391</v>
      </c>
      <c r="D586" s="71" t="s">
        <v>371</v>
      </c>
      <c r="E586" s="70">
        <v>132</v>
      </c>
      <c r="F586" s="70">
        <v>1129</v>
      </c>
      <c r="G586" s="66">
        <v>3250</v>
      </c>
      <c r="I586" s="59"/>
      <c r="J586" s="54"/>
      <c r="K586" s="54"/>
    </row>
    <row r="587" spans="1:11">
      <c r="A587" s="69" t="s">
        <v>397</v>
      </c>
      <c r="B587" s="69" t="s">
        <v>398</v>
      </c>
      <c r="C587" s="69" t="s">
        <v>391</v>
      </c>
      <c r="D587" s="71" t="s">
        <v>371</v>
      </c>
      <c r="E587" s="70">
        <v>47</v>
      </c>
      <c r="F587" s="70">
        <v>605</v>
      </c>
      <c r="G587" s="66">
        <v>1450</v>
      </c>
      <c r="I587" s="59"/>
      <c r="J587" s="54"/>
      <c r="K587" s="54"/>
    </row>
    <row r="588" spans="1:11">
      <c r="A588" s="69" t="s">
        <v>397</v>
      </c>
      <c r="B588" s="69" t="s">
        <v>396</v>
      </c>
      <c r="C588" s="69" t="s">
        <v>391</v>
      </c>
      <c r="D588" s="71" t="s">
        <v>371</v>
      </c>
      <c r="E588" s="70">
        <v>54</v>
      </c>
      <c r="F588" s="70">
        <v>693</v>
      </c>
      <c r="G588" s="66">
        <v>1450</v>
      </c>
      <c r="I588" s="54"/>
      <c r="J588" s="54"/>
      <c r="K588" s="54"/>
    </row>
    <row r="589" spans="1:11">
      <c r="A589" s="69" t="s">
        <v>383</v>
      </c>
      <c r="B589" s="69" t="s">
        <v>395</v>
      </c>
      <c r="C589" s="69" t="s">
        <v>391</v>
      </c>
      <c r="D589" s="71" t="s">
        <v>371</v>
      </c>
      <c r="E589" s="70">
        <v>103</v>
      </c>
      <c r="F589" s="70">
        <v>1102</v>
      </c>
      <c r="G589" s="66">
        <v>3440</v>
      </c>
      <c r="I589" s="54"/>
      <c r="J589" s="54"/>
      <c r="K589" s="54"/>
    </row>
    <row r="590" spans="1:11">
      <c r="A590" s="69" t="s">
        <v>393</v>
      </c>
      <c r="B590" s="69" t="s">
        <v>394</v>
      </c>
      <c r="C590" s="69" t="s">
        <v>391</v>
      </c>
      <c r="D590" s="71" t="s">
        <v>371</v>
      </c>
      <c r="E590" s="70">
        <v>103</v>
      </c>
      <c r="F590" s="70">
        <v>879</v>
      </c>
      <c r="G590" s="66">
        <v>2130</v>
      </c>
      <c r="I590" s="53"/>
      <c r="J590" s="53"/>
      <c r="K590" s="53"/>
    </row>
    <row r="591" spans="1:11">
      <c r="A591" s="69" t="s">
        <v>393</v>
      </c>
      <c r="B591" s="69" t="s">
        <v>392</v>
      </c>
      <c r="C591" s="69" t="s">
        <v>391</v>
      </c>
      <c r="D591" s="71" t="s">
        <v>371</v>
      </c>
      <c r="E591" s="70">
        <v>180</v>
      </c>
      <c r="F591" s="70">
        <v>1545</v>
      </c>
      <c r="G591" s="72">
        <v>3230</v>
      </c>
      <c r="I591" s="53"/>
      <c r="J591" s="53"/>
      <c r="K591" s="53"/>
    </row>
    <row r="592" spans="1:11">
      <c r="A592" s="69" t="s">
        <v>386</v>
      </c>
      <c r="B592" s="69" t="s">
        <v>390</v>
      </c>
      <c r="C592" s="69" t="s">
        <v>389</v>
      </c>
      <c r="D592" s="71" t="s">
        <v>371</v>
      </c>
      <c r="E592" s="70">
        <v>119</v>
      </c>
      <c r="F592" s="70">
        <v>1226</v>
      </c>
      <c r="G592" s="66">
        <v>4230</v>
      </c>
      <c r="I592" s="53"/>
      <c r="J592" s="53"/>
      <c r="K592" s="53"/>
    </row>
    <row r="593" spans="1:13">
      <c r="A593" s="69" t="s">
        <v>374</v>
      </c>
      <c r="B593" s="69" t="s">
        <v>388</v>
      </c>
      <c r="C593" s="69" t="s">
        <v>387</v>
      </c>
      <c r="D593" s="71" t="s">
        <v>371</v>
      </c>
      <c r="E593" s="70">
        <v>304</v>
      </c>
      <c r="F593" s="70">
        <v>2584</v>
      </c>
      <c r="G593" s="66">
        <v>4210</v>
      </c>
      <c r="I593" s="54"/>
      <c r="J593" s="54"/>
      <c r="K593" s="54"/>
    </row>
    <row r="594" spans="1:13">
      <c r="A594" s="69" t="s">
        <v>386</v>
      </c>
      <c r="B594" s="69" t="s">
        <v>385</v>
      </c>
      <c r="C594" s="69" t="s">
        <v>384</v>
      </c>
      <c r="D594" s="71" t="s">
        <v>371</v>
      </c>
      <c r="E594" s="70">
        <v>142</v>
      </c>
      <c r="F594" s="70">
        <v>1496</v>
      </c>
      <c r="G594" s="66">
        <v>4230</v>
      </c>
      <c r="I594" s="54"/>
      <c r="J594" s="54"/>
      <c r="K594" s="54"/>
    </row>
    <row r="595" spans="1:13">
      <c r="A595" s="69" t="s">
        <v>383</v>
      </c>
      <c r="B595" s="69" t="s">
        <v>382</v>
      </c>
      <c r="C595" s="69" t="s">
        <v>381</v>
      </c>
      <c r="D595" s="71" t="s">
        <v>371</v>
      </c>
      <c r="E595" s="70">
        <v>90</v>
      </c>
      <c r="F595" s="70">
        <v>986</v>
      </c>
      <c r="G595" s="66">
        <v>1340</v>
      </c>
      <c r="I595" s="54"/>
      <c r="J595" s="54"/>
      <c r="K595" s="54"/>
    </row>
    <row r="596" spans="1:13">
      <c r="A596" s="69" t="s">
        <v>374</v>
      </c>
      <c r="B596" s="69" t="s">
        <v>380</v>
      </c>
      <c r="C596" s="69" t="s">
        <v>379</v>
      </c>
      <c r="D596" s="71" t="s">
        <v>371</v>
      </c>
      <c r="E596" s="70">
        <v>240</v>
      </c>
      <c r="F596" s="70">
        <v>1986</v>
      </c>
      <c r="G596" s="66">
        <v>4110</v>
      </c>
      <c r="I596" s="54"/>
      <c r="J596" s="54"/>
      <c r="K596" s="54"/>
    </row>
    <row r="597" spans="1:13">
      <c r="A597" s="69" t="s">
        <v>374</v>
      </c>
      <c r="B597" s="69" t="s">
        <v>378</v>
      </c>
      <c r="C597" s="69" t="s">
        <v>375</v>
      </c>
      <c r="D597" s="71" t="s">
        <v>371</v>
      </c>
      <c r="E597" s="70">
        <v>472</v>
      </c>
      <c r="F597" s="70">
        <v>4012</v>
      </c>
      <c r="G597" s="66">
        <v>4210</v>
      </c>
      <c r="I597" s="54"/>
      <c r="J597" s="54"/>
      <c r="K597" s="54"/>
    </row>
    <row r="598" spans="1:13">
      <c r="A598" s="69" t="s">
        <v>374</v>
      </c>
      <c r="B598" s="69" t="s">
        <v>377</v>
      </c>
      <c r="C598" s="69" t="s">
        <v>375</v>
      </c>
      <c r="D598" s="71" t="s">
        <v>371</v>
      </c>
      <c r="E598" s="70">
        <v>53</v>
      </c>
      <c r="F598" s="70">
        <v>550</v>
      </c>
      <c r="G598" s="66">
        <v>4310</v>
      </c>
      <c r="I598" s="54"/>
      <c r="J598" s="54"/>
      <c r="K598" s="54"/>
    </row>
    <row r="599" spans="1:13">
      <c r="A599" s="69" t="s">
        <v>374</v>
      </c>
      <c r="B599" s="69" t="s">
        <v>376</v>
      </c>
      <c r="C599" s="69" t="s">
        <v>375</v>
      </c>
      <c r="D599" s="71" t="s">
        <v>371</v>
      </c>
      <c r="E599" s="70">
        <v>298</v>
      </c>
      <c r="F599" s="70">
        <v>2965</v>
      </c>
      <c r="G599" s="66">
        <v>4410</v>
      </c>
      <c r="I599" s="54"/>
      <c r="J599" s="54"/>
      <c r="K599" s="54"/>
    </row>
    <row r="600" spans="1:13">
      <c r="A600" s="69" t="s">
        <v>374</v>
      </c>
      <c r="B600" s="69" t="s">
        <v>373</v>
      </c>
      <c r="C600" s="69" t="s">
        <v>372</v>
      </c>
      <c r="D600" s="71" t="s">
        <v>371</v>
      </c>
      <c r="E600" s="70">
        <v>565</v>
      </c>
      <c r="F600" s="70">
        <v>5642</v>
      </c>
      <c r="G600" s="66">
        <v>4510</v>
      </c>
      <c r="I600" s="54"/>
      <c r="J600" s="54"/>
      <c r="K600" s="54"/>
    </row>
    <row r="601" spans="1:13">
      <c r="A601" s="69"/>
      <c r="B601" s="69"/>
      <c r="C601" s="69"/>
      <c r="D601" s="68" t="s">
        <v>370</v>
      </c>
      <c r="E601" s="67">
        <f>SUM(E564:E600)</f>
        <v>5617</v>
      </c>
      <c r="F601" s="67">
        <f>SUM(F564:F600)</f>
        <v>106440</v>
      </c>
      <c r="G601" s="66"/>
      <c r="I601" s="54"/>
      <c r="J601" s="54"/>
      <c r="K601" s="54"/>
    </row>
    <row r="602" spans="1:13">
      <c r="A602" s="69"/>
      <c r="B602" s="69"/>
      <c r="C602" s="69"/>
      <c r="D602" s="68" t="s">
        <v>369</v>
      </c>
      <c r="E602" s="67">
        <f>E556+E561+E601</f>
        <v>14605</v>
      </c>
      <c r="F602" s="67">
        <f>F556+F561+F601</f>
        <v>315173</v>
      </c>
      <c r="G602" s="66"/>
      <c r="I602" s="54"/>
      <c r="J602" s="54"/>
      <c r="K602" s="54"/>
    </row>
    <row r="603" spans="1:13" s="53" customFormat="1">
      <c r="A603" s="69"/>
      <c r="B603" s="69"/>
      <c r="C603" s="69"/>
      <c r="D603" s="71"/>
      <c r="E603" s="70"/>
      <c r="F603" s="70"/>
      <c r="G603" s="66"/>
      <c r="I603" s="54"/>
      <c r="J603" s="54"/>
      <c r="K603" s="54"/>
    </row>
    <row r="604" spans="1:13" s="53" customFormat="1">
      <c r="A604" s="69"/>
      <c r="B604" s="69"/>
      <c r="C604" s="69"/>
      <c r="D604" s="68" t="s">
        <v>368</v>
      </c>
      <c r="E604" s="67">
        <f>E108+E247+E522+E602</f>
        <v>77813</v>
      </c>
      <c r="F604" s="67">
        <f>F108+F247+F522+F602</f>
        <v>1045846</v>
      </c>
      <c r="G604" s="66"/>
      <c r="I604" s="54"/>
      <c r="J604" s="54"/>
      <c r="K604" s="54"/>
    </row>
    <row r="605" spans="1:13" s="53" customFormat="1">
      <c r="A605" s="60"/>
      <c r="B605" s="60"/>
      <c r="C605" s="60"/>
      <c r="D605" s="59"/>
      <c r="E605" s="58"/>
      <c r="F605" s="58"/>
      <c r="G605" s="57"/>
      <c r="I605" s="54"/>
      <c r="J605" s="54"/>
      <c r="K605" s="54"/>
    </row>
    <row r="606" spans="1:13">
      <c r="A606" s="60"/>
      <c r="B606" s="60"/>
      <c r="C606" s="60"/>
      <c r="D606" s="59"/>
      <c r="E606" s="58"/>
      <c r="F606" s="58"/>
      <c r="G606" s="57"/>
      <c r="I606" s="54"/>
      <c r="J606" s="54"/>
      <c r="K606" s="54"/>
      <c r="M606" s="1" t="s">
        <v>23</v>
      </c>
    </row>
    <row r="607" spans="1:13">
      <c r="A607" s="60"/>
      <c r="B607" s="60"/>
      <c r="C607" s="60"/>
      <c r="D607" s="59"/>
      <c r="E607" s="58"/>
      <c r="F607" s="58"/>
      <c r="G607" s="57"/>
      <c r="I607" s="54"/>
      <c r="J607" s="54"/>
      <c r="K607" s="54"/>
      <c r="M607" s="1">
        <v>1.3813</v>
      </c>
    </row>
    <row r="608" spans="1:13">
      <c r="A608" s="60"/>
      <c r="B608" s="60"/>
      <c r="C608" s="60"/>
      <c r="D608" s="59"/>
      <c r="E608" s="58"/>
      <c r="F608" s="58"/>
      <c r="G608" s="57"/>
      <c r="I608" s="54"/>
      <c r="J608" s="54"/>
      <c r="K608" s="54"/>
      <c r="M608" s="1">
        <v>3.9110100000000001</v>
      </c>
    </row>
    <row r="609" spans="1:13">
      <c r="A609" s="60"/>
      <c r="B609" s="60"/>
      <c r="C609" s="60"/>
      <c r="D609" s="59"/>
      <c r="E609" s="58"/>
      <c r="F609" s="58"/>
      <c r="G609" s="57"/>
      <c r="I609" s="54"/>
      <c r="J609" s="54"/>
      <c r="K609" s="54"/>
      <c r="M609" s="1">
        <v>3.9110399999999998</v>
      </c>
    </row>
    <row r="610" spans="1:13">
      <c r="A610" s="60"/>
      <c r="B610" s="60"/>
      <c r="C610" s="60"/>
      <c r="D610" s="59"/>
      <c r="E610" s="58"/>
      <c r="F610" s="58"/>
      <c r="G610" s="57"/>
      <c r="I610" s="54"/>
      <c r="J610" s="54"/>
      <c r="K610" s="54"/>
      <c r="M610" s="1">
        <v>3.9140000000000001</v>
      </c>
    </row>
    <row r="611" spans="1:13">
      <c r="A611" s="60"/>
      <c r="B611" s="60"/>
      <c r="C611" s="60"/>
      <c r="D611" s="59"/>
      <c r="E611" s="58"/>
      <c r="F611" s="58"/>
      <c r="G611" s="57"/>
      <c r="I611" s="54"/>
      <c r="J611" s="54"/>
      <c r="K611" s="54"/>
      <c r="M611" s="1">
        <v>3.92</v>
      </c>
    </row>
    <row r="612" spans="1:13">
      <c r="A612" s="60"/>
      <c r="B612" s="60"/>
      <c r="C612" s="60"/>
      <c r="D612" s="59"/>
      <c r="E612" s="58"/>
      <c r="F612" s="58"/>
      <c r="G612" s="57"/>
      <c r="I612" s="54"/>
      <c r="J612" s="54"/>
      <c r="K612" s="54"/>
      <c r="M612" s="1">
        <v>3.93</v>
      </c>
    </row>
    <row r="613" spans="1:13">
      <c r="A613" s="60"/>
      <c r="B613" s="60"/>
      <c r="C613" s="60"/>
      <c r="D613" s="59"/>
      <c r="E613" s="58"/>
      <c r="F613" s="58"/>
      <c r="G613" s="57"/>
      <c r="I613" s="54"/>
      <c r="J613" s="54"/>
      <c r="K613" s="54"/>
    </row>
    <row r="614" spans="1:13">
      <c r="A614" s="60"/>
      <c r="B614" s="60"/>
      <c r="C614" s="60"/>
      <c r="D614" s="59"/>
      <c r="E614" s="58"/>
      <c r="F614" s="58"/>
      <c r="G614" s="57"/>
      <c r="I614" s="54"/>
      <c r="J614" s="54"/>
      <c r="K614" s="54"/>
    </row>
    <row r="615" spans="1:13">
      <c r="A615" s="60"/>
      <c r="B615" s="60"/>
      <c r="C615" s="60"/>
      <c r="D615" s="59"/>
      <c r="E615" s="58"/>
      <c r="F615" s="58"/>
      <c r="G615" s="57"/>
      <c r="I615" s="54"/>
      <c r="J615" s="54"/>
      <c r="K615" s="54"/>
    </row>
    <row r="616" spans="1:13">
      <c r="A616" s="60"/>
      <c r="B616" s="60"/>
      <c r="C616" s="60"/>
      <c r="D616" s="59"/>
      <c r="E616" s="58"/>
      <c r="F616" s="58"/>
      <c r="G616" s="57"/>
      <c r="I616" s="54"/>
      <c r="J616" s="54"/>
      <c r="K616" s="54"/>
    </row>
    <row r="617" spans="1:13">
      <c r="A617" s="60"/>
      <c r="B617" s="60"/>
      <c r="C617" s="60"/>
      <c r="D617" s="59"/>
      <c r="E617" s="58"/>
      <c r="F617" s="58"/>
      <c r="G617" s="57"/>
      <c r="I617" s="54"/>
      <c r="J617" s="54"/>
      <c r="K617" s="54"/>
    </row>
    <row r="618" spans="1:13">
      <c r="A618" s="60"/>
      <c r="B618" s="60"/>
      <c r="C618" s="60"/>
      <c r="D618" s="59"/>
      <c r="E618" s="58"/>
      <c r="F618" s="58"/>
      <c r="G618" s="57"/>
      <c r="I618" s="54"/>
      <c r="J618" s="54"/>
      <c r="K618" s="54"/>
    </row>
    <row r="619" spans="1:13">
      <c r="A619" s="60"/>
      <c r="B619" s="60"/>
      <c r="C619" s="60"/>
      <c r="D619" s="59"/>
      <c r="E619" s="58"/>
      <c r="F619" s="58"/>
      <c r="G619" s="57"/>
      <c r="I619" s="54"/>
      <c r="J619" s="54"/>
      <c r="K619" s="54"/>
    </row>
    <row r="620" spans="1:13">
      <c r="A620" s="60"/>
      <c r="B620" s="60"/>
      <c r="C620" s="60"/>
      <c r="D620" s="59"/>
      <c r="E620" s="58"/>
      <c r="F620" s="58"/>
      <c r="G620" s="57"/>
      <c r="I620" s="54"/>
      <c r="J620" s="54"/>
      <c r="K620" s="54"/>
    </row>
    <row r="621" spans="1:13">
      <c r="A621" s="60"/>
      <c r="B621" s="60"/>
      <c r="C621" s="60"/>
      <c r="D621" s="59"/>
      <c r="E621" s="58"/>
      <c r="F621" s="58"/>
      <c r="G621" s="57"/>
      <c r="I621" s="54"/>
      <c r="J621" s="54"/>
      <c r="K621" s="54"/>
    </row>
    <row r="622" spans="1:13">
      <c r="A622" s="60"/>
      <c r="B622" s="60"/>
      <c r="C622" s="60"/>
      <c r="D622" s="59"/>
      <c r="E622" s="58"/>
      <c r="F622" s="58"/>
      <c r="G622" s="57"/>
      <c r="I622" s="54"/>
      <c r="J622" s="54"/>
      <c r="K622" s="54"/>
    </row>
    <row r="623" spans="1:13">
      <c r="A623" s="60"/>
      <c r="B623" s="60"/>
      <c r="C623" s="62"/>
      <c r="D623" s="59"/>
      <c r="E623" s="61"/>
      <c r="F623" s="61"/>
      <c r="G623" s="57"/>
      <c r="I623" s="54"/>
      <c r="J623" s="54"/>
      <c r="K623" s="54"/>
    </row>
    <row r="624" spans="1:13">
      <c r="A624" s="60"/>
      <c r="B624" s="60"/>
      <c r="C624" s="60"/>
      <c r="D624" s="59"/>
      <c r="E624" s="58"/>
      <c r="F624" s="58"/>
      <c r="G624" s="57"/>
    </row>
    <row r="625" spans="1:11">
      <c r="A625" s="65"/>
      <c r="B625" s="60"/>
      <c r="C625" s="60"/>
      <c r="D625" s="59"/>
      <c r="E625" s="58"/>
      <c r="F625" s="58"/>
      <c r="G625" s="57"/>
    </row>
    <row r="626" spans="1:11">
      <c r="A626" s="60"/>
      <c r="B626" s="60"/>
      <c r="C626" s="60"/>
      <c r="D626" s="59"/>
      <c r="E626" s="58"/>
      <c r="F626" s="58"/>
      <c r="G626" s="57"/>
    </row>
    <row r="627" spans="1:11">
      <c r="A627" s="60"/>
      <c r="B627" s="60"/>
      <c r="C627" s="60"/>
      <c r="D627" s="59"/>
      <c r="E627" s="58"/>
      <c r="F627" s="58"/>
      <c r="G627" s="57"/>
    </row>
    <row r="628" spans="1:11">
      <c r="A628" s="60"/>
      <c r="B628" s="60"/>
      <c r="C628" s="62"/>
      <c r="D628" s="59"/>
      <c r="E628" s="61"/>
      <c r="F628" s="61"/>
      <c r="G628" s="57"/>
    </row>
    <row r="629" spans="1:11">
      <c r="A629" s="60"/>
      <c r="B629" s="60"/>
      <c r="C629" s="60"/>
      <c r="D629" s="59"/>
      <c r="E629" s="58"/>
      <c r="F629" s="58"/>
      <c r="G629" s="57"/>
    </row>
    <row r="630" spans="1:11">
      <c r="A630" s="65"/>
      <c r="B630" s="60"/>
      <c r="C630" s="60"/>
      <c r="D630" s="59"/>
      <c r="E630" s="58"/>
      <c r="F630" s="58"/>
      <c r="G630" s="57"/>
    </row>
    <row r="631" spans="1:11">
      <c r="A631" s="60"/>
      <c r="B631" s="60"/>
      <c r="C631" s="60"/>
      <c r="D631" s="59"/>
      <c r="E631" s="58"/>
      <c r="F631" s="58"/>
      <c r="G631" s="57"/>
    </row>
    <row r="632" spans="1:11">
      <c r="A632" s="60"/>
      <c r="B632" s="60"/>
      <c r="C632" s="60"/>
      <c r="D632" s="59"/>
      <c r="E632" s="58"/>
      <c r="F632" s="58"/>
      <c r="G632" s="57"/>
    </row>
    <row r="633" spans="1:11">
      <c r="A633" s="60"/>
      <c r="B633" s="60"/>
      <c r="C633" s="60"/>
      <c r="D633" s="59"/>
      <c r="E633" s="58"/>
      <c r="F633" s="58"/>
      <c r="G633" s="57"/>
    </row>
    <row r="634" spans="1:11">
      <c r="A634" s="60"/>
      <c r="B634" s="60"/>
      <c r="C634" s="60"/>
      <c r="D634" s="59"/>
      <c r="E634" s="58"/>
      <c r="F634" s="58"/>
      <c r="G634" s="57"/>
    </row>
    <row r="635" spans="1:11">
      <c r="A635" s="60"/>
      <c r="B635" s="60"/>
      <c r="C635" s="60"/>
      <c r="D635" s="59"/>
      <c r="E635" s="58"/>
      <c r="F635" s="58"/>
      <c r="G635" s="57"/>
    </row>
    <row r="636" spans="1:11">
      <c r="A636" s="60"/>
      <c r="B636" s="60"/>
      <c r="C636" s="60"/>
      <c r="D636" s="59"/>
      <c r="E636" s="58"/>
      <c r="F636" s="58"/>
      <c r="G636" s="57"/>
    </row>
    <row r="637" spans="1:11">
      <c r="A637" s="60"/>
      <c r="B637" s="60"/>
      <c r="C637" s="60"/>
      <c r="D637" s="59"/>
      <c r="E637" s="58"/>
      <c r="F637" s="58"/>
      <c r="G637" s="57"/>
      <c r="I637" s="54"/>
      <c r="J637" s="54"/>
      <c r="K637" s="54"/>
    </row>
    <row r="638" spans="1:11">
      <c r="A638" s="60"/>
      <c r="B638" s="60"/>
      <c r="C638" s="60"/>
      <c r="D638" s="59"/>
      <c r="E638" s="58"/>
      <c r="F638" s="58"/>
      <c r="G638" s="57"/>
      <c r="I638" s="54"/>
      <c r="J638" s="54"/>
      <c r="K638" s="54"/>
    </row>
    <row r="639" spans="1:11">
      <c r="A639" s="60"/>
      <c r="B639" s="60"/>
      <c r="C639" s="60"/>
      <c r="D639" s="59"/>
      <c r="E639" s="58"/>
      <c r="F639" s="58"/>
      <c r="G639" s="57"/>
      <c r="I639" s="54"/>
      <c r="J639" s="54"/>
      <c r="K639" s="54"/>
    </row>
    <row r="640" spans="1:11">
      <c r="A640" s="60"/>
      <c r="B640" s="60"/>
      <c r="C640" s="60"/>
      <c r="D640" s="59"/>
      <c r="E640" s="58"/>
      <c r="F640" s="58"/>
      <c r="G640" s="57"/>
      <c r="I640" s="54"/>
      <c r="J640" s="54"/>
      <c r="K640" s="54"/>
    </row>
    <row r="641" spans="1:7">
      <c r="A641" s="60"/>
      <c r="B641" s="60"/>
      <c r="C641" s="60"/>
      <c r="D641" s="59"/>
      <c r="E641" s="58"/>
      <c r="F641" s="58"/>
      <c r="G641" s="57"/>
    </row>
    <row r="642" spans="1:7">
      <c r="A642" s="60"/>
      <c r="B642" s="60"/>
      <c r="C642" s="60"/>
      <c r="D642" s="59"/>
      <c r="E642" s="58"/>
      <c r="F642" s="58"/>
      <c r="G642" s="57"/>
    </row>
    <row r="643" spans="1:7">
      <c r="A643" s="60"/>
      <c r="B643" s="60"/>
      <c r="C643" s="60"/>
      <c r="D643" s="59"/>
      <c r="E643" s="58"/>
      <c r="F643" s="58"/>
      <c r="G643" s="57"/>
    </row>
    <row r="644" spans="1:7">
      <c r="A644" s="60"/>
      <c r="B644" s="60"/>
      <c r="C644" s="60"/>
      <c r="D644" s="59"/>
      <c r="E644" s="58"/>
      <c r="F644" s="58"/>
      <c r="G644" s="57"/>
    </row>
    <row r="645" spans="1:7">
      <c r="A645" s="60"/>
      <c r="B645" s="60"/>
      <c r="C645" s="60"/>
      <c r="D645" s="59"/>
      <c r="E645" s="58"/>
      <c r="F645" s="58"/>
      <c r="G645" s="57"/>
    </row>
    <row r="646" spans="1:7">
      <c r="A646" s="60"/>
      <c r="B646" s="60"/>
      <c r="C646" s="64"/>
      <c r="D646" s="59"/>
      <c r="E646" s="58"/>
      <c r="F646" s="58"/>
      <c r="G646" s="57"/>
    </row>
    <row r="647" spans="1:7">
      <c r="A647" s="60"/>
      <c r="B647" s="60"/>
      <c r="C647" s="60"/>
      <c r="D647" s="59"/>
      <c r="E647" s="58"/>
      <c r="F647" s="58"/>
      <c r="G647" s="57"/>
    </row>
    <row r="648" spans="1:7">
      <c r="A648" s="60"/>
      <c r="B648" s="60"/>
      <c r="C648" s="60"/>
      <c r="D648" s="59"/>
      <c r="E648" s="58"/>
      <c r="F648" s="58"/>
      <c r="G648" s="57"/>
    </row>
    <row r="649" spans="1:7">
      <c r="A649" s="60"/>
      <c r="B649" s="60"/>
      <c r="C649" s="60"/>
      <c r="D649" s="59"/>
      <c r="E649" s="58"/>
      <c r="F649" s="58"/>
      <c r="G649" s="57"/>
    </row>
    <row r="650" spans="1:7">
      <c r="A650" s="60"/>
      <c r="B650" s="60"/>
      <c r="C650" s="60"/>
      <c r="D650" s="59"/>
      <c r="E650" s="58"/>
      <c r="F650" s="58"/>
      <c r="G650" s="57"/>
    </row>
    <row r="651" spans="1:7">
      <c r="A651" s="60"/>
      <c r="B651" s="60"/>
      <c r="C651" s="60"/>
      <c r="D651" s="59"/>
      <c r="E651" s="58"/>
      <c r="F651" s="58"/>
      <c r="G651" s="57"/>
    </row>
    <row r="652" spans="1:7">
      <c r="A652" s="60"/>
      <c r="B652" s="60"/>
      <c r="C652" s="60"/>
      <c r="D652" s="59"/>
      <c r="E652" s="58"/>
      <c r="F652" s="58"/>
      <c r="G652" s="57"/>
    </row>
    <row r="653" spans="1:7">
      <c r="A653" s="60"/>
      <c r="B653" s="60"/>
      <c r="C653" s="60"/>
      <c r="D653" s="59"/>
      <c r="E653" s="58"/>
      <c r="F653" s="58"/>
      <c r="G653" s="57"/>
    </row>
    <row r="654" spans="1:7">
      <c r="A654" s="60"/>
      <c r="B654" s="60"/>
      <c r="C654" s="60"/>
      <c r="D654" s="59"/>
      <c r="E654" s="58"/>
      <c r="F654" s="58"/>
      <c r="G654" s="57"/>
    </row>
    <row r="655" spans="1:7">
      <c r="A655" s="60"/>
      <c r="B655" s="60"/>
      <c r="C655" s="60"/>
      <c r="D655" s="59"/>
      <c r="E655" s="58"/>
      <c r="F655" s="58"/>
      <c r="G655" s="57"/>
    </row>
    <row r="656" spans="1:7">
      <c r="A656" s="60"/>
      <c r="B656" s="60"/>
      <c r="C656" s="60"/>
      <c r="D656" s="59"/>
      <c r="E656" s="58"/>
      <c r="F656" s="58"/>
      <c r="G656" s="57"/>
    </row>
    <row r="657" spans="1:7">
      <c r="A657" s="60"/>
      <c r="B657" s="60"/>
      <c r="C657" s="60"/>
      <c r="D657" s="59"/>
      <c r="E657" s="58"/>
      <c r="F657" s="58"/>
      <c r="G657" s="57"/>
    </row>
    <row r="658" spans="1:7">
      <c r="A658" s="60"/>
      <c r="B658" s="60"/>
      <c r="C658" s="60"/>
      <c r="D658" s="59"/>
      <c r="E658" s="58"/>
      <c r="F658" s="58"/>
      <c r="G658" s="63"/>
    </row>
    <row r="659" spans="1:7">
      <c r="A659" s="60"/>
      <c r="B659" s="60"/>
      <c r="C659" s="60"/>
      <c r="D659" s="59"/>
      <c r="E659" s="58"/>
      <c r="F659" s="58"/>
      <c r="G659" s="57"/>
    </row>
    <row r="660" spans="1:7">
      <c r="A660" s="60"/>
      <c r="B660" s="60"/>
      <c r="C660" s="60"/>
      <c r="D660" s="59"/>
      <c r="E660" s="58"/>
      <c r="F660" s="58"/>
      <c r="G660" s="57"/>
    </row>
    <row r="661" spans="1:7">
      <c r="A661" s="60"/>
      <c r="B661" s="60"/>
      <c r="C661" s="60"/>
      <c r="D661" s="59"/>
      <c r="E661" s="58"/>
      <c r="F661" s="58"/>
      <c r="G661" s="57"/>
    </row>
    <row r="662" spans="1:7">
      <c r="A662" s="60"/>
      <c r="B662" s="60"/>
      <c r="C662" s="60"/>
      <c r="D662" s="59"/>
      <c r="E662" s="58"/>
      <c r="F662" s="58"/>
      <c r="G662" s="57"/>
    </row>
    <row r="663" spans="1:7">
      <c r="A663" s="60"/>
      <c r="B663" s="60"/>
      <c r="C663" s="60"/>
      <c r="D663" s="59"/>
      <c r="E663" s="58"/>
      <c r="F663" s="58"/>
      <c r="G663" s="57"/>
    </row>
    <row r="664" spans="1:7">
      <c r="A664" s="60"/>
      <c r="B664" s="60"/>
      <c r="C664" s="60"/>
      <c r="D664" s="59"/>
      <c r="E664" s="58"/>
      <c r="F664" s="58"/>
      <c r="G664" s="57"/>
    </row>
    <row r="665" spans="1:7">
      <c r="A665" s="60"/>
      <c r="B665" s="60"/>
      <c r="C665" s="60"/>
      <c r="D665" s="59"/>
      <c r="E665" s="58"/>
      <c r="F665" s="58"/>
      <c r="G665" s="57"/>
    </row>
    <row r="666" spans="1:7">
      <c r="A666" s="60"/>
      <c r="B666" s="60"/>
      <c r="C666" s="60"/>
      <c r="D666" s="59"/>
      <c r="E666" s="58"/>
      <c r="F666" s="58"/>
      <c r="G666" s="57"/>
    </row>
    <row r="667" spans="1:7">
      <c r="A667" s="60"/>
      <c r="B667" s="60"/>
      <c r="C667" s="60"/>
      <c r="D667" s="59"/>
      <c r="E667" s="58"/>
      <c r="F667" s="58"/>
      <c r="G667" s="57"/>
    </row>
    <row r="668" spans="1:7">
      <c r="A668" s="60"/>
      <c r="B668" s="60"/>
      <c r="C668" s="62"/>
      <c r="D668" s="59"/>
      <c r="E668" s="61"/>
      <c r="F668" s="61"/>
      <c r="G668" s="57"/>
    </row>
    <row r="669" spans="1:7">
      <c r="A669" s="60"/>
      <c r="B669" s="60"/>
      <c r="C669" s="62"/>
      <c r="D669" s="59"/>
      <c r="E669" s="61"/>
      <c r="F669" s="61"/>
      <c r="G669" s="57"/>
    </row>
    <row r="670" spans="1:7">
      <c r="A670" s="60"/>
      <c r="B670" s="60"/>
      <c r="C670" s="60"/>
      <c r="D670" s="59"/>
      <c r="E670" s="58"/>
      <c r="F670" s="58"/>
      <c r="G670" s="57"/>
    </row>
    <row r="671" spans="1:7">
      <c r="A671" s="54"/>
      <c r="B671" s="54"/>
      <c r="C671" s="56"/>
      <c r="D671" s="54"/>
      <c r="E671" s="55"/>
      <c r="F671" s="55"/>
      <c r="G671" s="54"/>
    </row>
    <row r="684" spans="1:7">
      <c r="A684" s="53"/>
      <c r="B684" s="53"/>
      <c r="C684" s="53"/>
      <c r="D684" s="53"/>
      <c r="E684" s="53"/>
      <c r="F684" s="53"/>
      <c r="G684" s="53"/>
    </row>
    <row r="685" spans="1:7">
      <c r="A685" s="53"/>
      <c r="B685" s="53"/>
      <c r="C685" s="53"/>
      <c r="D685" s="53"/>
      <c r="E685" s="53"/>
      <c r="F685" s="53"/>
      <c r="G685" s="53"/>
    </row>
    <row r="686" spans="1:7">
      <c r="A686" s="53"/>
      <c r="B686" s="53"/>
      <c r="C686" s="53"/>
      <c r="D686" s="53"/>
      <c r="E686" s="53"/>
      <c r="F686" s="53"/>
      <c r="G686" s="53"/>
    </row>
    <row r="709" spans="1:7" s="53" customFormat="1">
      <c r="A709" s="52"/>
      <c r="B709" s="52"/>
      <c r="C709" s="52"/>
      <c r="D709" s="52"/>
      <c r="E709" s="52"/>
      <c r="F709" s="52"/>
      <c r="G709" s="52"/>
    </row>
    <row r="710" spans="1:7" s="53" customFormat="1">
      <c r="A710" s="52"/>
      <c r="B710" s="52"/>
      <c r="C710" s="52"/>
      <c r="D710" s="52"/>
      <c r="E710" s="52"/>
      <c r="F710" s="52"/>
      <c r="G710" s="52"/>
    </row>
    <row r="711" spans="1:7" s="53" customFormat="1">
      <c r="A711" s="52"/>
      <c r="B711" s="52"/>
      <c r="C711" s="52"/>
      <c r="D711" s="52"/>
      <c r="E711" s="52"/>
      <c r="F711" s="52"/>
      <c r="G711" s="52"/>
    </row>
    <row r="712" spans="1:7" s="53" customFormat="1">
      <c r="A712" s="52"/>
      <c r="B712" s="52"/>
      <c r="C712" s="52"/>
      <c r="D712" s="52"/>
      <c r="E712" s="52"/>
      <c r="F712" s="52"/>
      <c r="G712" s="52"/>
    </row>
    <row r="730" spans="1:7">
      <c r="A730" s="53"/>
      <c r="B730" s="53"/>
      <c r="C730" s="53"/>
      <c r="D730" s="53"/>
      <c r="E730" s="53"/>
      <c r="F730" s="53"/>
      <c r="G730" s="53"/>
    </row>
    <row r="731" spans="1:7">
      <c r="A731" s="53"/>
      <c r="B731" s="53"/>
      <c r="C731" s="53"/>
      <c r="D731" s="53"/>
      <c r="E731" s="53"/>
      <c r="F731" s="53"/>
      <c r="G731" s="53"/>
    </row>
    <row r="732" spans="1:7">
      <c r="A732" s="53"/>
      <c r="B732" s="53"/>
      <c r="C732" s="53"/>
      <c r="D732" s="53"/>
      <c r="E732" s="53"/>
      <c r="F732" s="53"/>
      <c r="G732" s="53"/>
    </row>
    <row r="803" spans="1:7" s="53" customFormat="1">
      <c r="A803" s="52"/>
      <c r="B803" s="52"/>
      <c r="C803" s="52"/>
      <c r="D803" s="52"/>
      <c r="E803" s="52"/>
      <c r="F803" s="52"/>
      <c r="G803" s="52"/>
    </row>
    <row r="804" spans="1:7" s="53" customFormat="1">
      <c r="A804" s="52"/>
      <c r="B804" s="52"/>
      <c r="C804" s="52"/>
      <c r="D804" s="52"/>
      <c r="E804" s="52"/>
      <c r="F804" s="52"/>
      <c r="G804" s="52"/>
    </row>
    <row r="805" spans="1:7" s="53" customFormat="1">
      <c r="A805" s="52"/>
      <c r="B805" s="52"/>
      <c r="C805" s="52"/>
      <c r="D805" s="52"/>
      <c r="E805" s="52"/>
      <c r="F805" s="52"/>
      <c r="G805" s="52"/>
    </row>
    <row r="806" spans="1:7" s="53" customFormat="1">
      <c r="A806" s="52"/>
      <c r="B806" s="52"/>
      <c r="C806" s="52"/>
      <c r="D806" s="52"/>
      <c r="E806" s="52"/>
      <c r="F806" s="52"/>
      <c r="G806" s="52"/>
    </row>
    <row r="807" spans="1:7" s="53" customFormat="1">
      <c r="A807" s="52"/>
      <c r="B807" s="52"/>
      <c r="C807" s="52"/>
      <c r="D807" s="52"/>
      <c r="E807" s="52"/>
      <c r="F807" s="52"/>
      <c r="G807" s="52"/>
    </row>
    <row r="808" spans="1:7" s="53" customFormat="1">
      <c r="A808" s="52"/>
      <c r="B808" s="52"/>
      <c r="C808" s="52"/>
      <c r="D808" s="52"/>
      <c r="E808" s="52"/>
      <c r="F808" s="52"/>
      <c r="G808" s="52"/>
    </row>
    <row r="839" spans="1:7" s="53" customFormat="1">
      <c r="A839" s="52"/>
      <c r="B839" s="52"/>
      <c r="C839" s="52"/>
      <c r="D839" s="52"/>
      <c r="E839" s="52"/>
      <c r="F839" s="52"/>
      <c r="G839" s="52"/>
    </row>
    <row r="840" spans="1:7" s="53" customFormat="1">
      <c r="A840" s="52"/>
      <c r="B840" s="52"/>
      <c r="C840" s="52"/>
      <c r="D840" s="52"/>
      <c r="E840" s="52"/>
      <c r="F840" s="52"/>
      <c r="G840" s="52"/>
    </row>
    <row r="841" spans="1:7" s="53" customFormat="1">
      <c r="A841" s="52"/>
      <c r="B841" s="52"/>
      <c r="C841" s="52"/>
      <c r="D841" s="52"/>
      <c r="E841" s="52"/>
      <c r="F841" s="52"/>
      <c r="G841" s="52"/>
    </row>
    <row r="844" spans="1:7" s="53" customFormat="1">
      <c r="A844" s="52"/>
      <c r="B844" s="52"/>
      <c r="C844" s="52"/>
      <c r="D844" s="52"/>
      <c r="E844" s="52"/>
      <c r="F844" s="52"/>
      <c r="G844" s="52"/>
    </row>
    <row r="845" spans="1:7" s="53" customFormat="1">
      <c r="A845" s="52"/>
      <c r="B845" s="52"/>
      <c r="C845" s="52"/>
      <c r="D845" s="52"/>
      <c r="E845" s="52"/>
      <c r="F845" s="52"/>
      <c r="G845" s="52"/>
    </row>
    <row r="846" spans="1:7" s="53" customFormat="1">
      <c r="A846" s="52"/>
      <c r="B846" s="52"/>
      <c r="C846" s="52"/>
      <c r="D846" s="52"/>
      <c r="E846" s="52"/>
      <c r="F846" s="52"/>
      <c r="G846" s="52"/>
    </row>
  </sheetData>
  <printOptions horizontalCentered="1"/>
  <pageMargins left="0.7" right="0.7" top="1" bottom="0.75" header="0.3" footer="0.3"/>
  <pageSetup scale="74" fitToHeight="0" orientation="portrait" r:id="rId1"/>
  <headerFooter>
    <oddHeader>&amp;C&amp;14FOUO&amp;10
DDG 51 Class - FY16 Hull
 A/V Report
SSCS Sort
20 October 2016</oddHeader>
    <oddFooter>&amp;C&amp;14FOUO&amp;10
&amp;P of &amp;N</oddFooter>
  </headerFooter>
  <rowBreaks count="17" manualBreakCount="17">
    <brk id="46" max="16383" man="1"/>
    <brk id="75" max="16383" man="1"/>
    <brk id="109" max="16383" man="1"/>
    <brk id="172" max="16383" man="1"/>
    <brk id="214" max="16383" man="1"/>
    <brk id="248" max="16383" man="1"/>
    <brk id="305" max="16383" man="1"/>
    <brk id="353" max="16383" man="1"/>
    <brk id="414" max="16383" man="1"/>
    <brk id="436" max="16383" man="1"/>
    <brk id="523" max="16383" man="1"/>
    <brk id="562" max="16383" man="1"/>
    <brk id="640" max="16383" man="1"/>
    <brk id="660" max="16383" man="1"/>
    <brk id="739" max="16383" man="1"/>
    <brk id="840" max="16383" man="1"/>
    <brk id="9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31"/>
  <sheetViews>
    <sheetView zoomScale="85" workbookViewId="0">
      <selection activeCell="F528" sqref="F528"/>
    </sheetView>
  </sheetViews>
  <sheetFormatPr defaultRowHeight="12.5"/>
  <cols>
    <col min="1" max="1" width="9.26953125" style="172" customWidth="1"/>
    <col min="2" max="2" width="24.26953125" style="172" customWidth="1"/>
    <col min="3" max="3" width="55.7265625" style="172" customWidth="1"/>
    <col min="4" max="4" width="10" style="172" customWidth="1"/>
    <col min="5" max="8" width="19" style="172" customWidth="1"/>
    <col min="9" max="9" width="10.26953125" style="172" customWidth="1"/>
    <col min="10" max="10" width="28.26953125" style="172" customWidth="1"/>
    <col min="11" max="256" width="8.7265625" style="172"/>
    <col min="257" max="257" width="9.26953125" style="172" customWidth="1"/>
    <col min="258" max="258" width="24.26953125" style="172" customWidth="1"/>
    <col min="259" max="259" width="55.7265625" style="172" customWidth="1"/>
    <col min="260" max="260" width="10" style="172" customWidth="1"/>
    <col min="261" max="264" width="19" style="172" customWidth="1"/>
    <col min="265" max="265" width="10.26953125" style="172" customWidth="1"/>
    <col min="266" max="266" width="28.26953125" style="172" customWidth="1"/>
    <col min="267" max="512" width="8.7265625" style="172"/>
    <col min="513" max="513" width="9.26953125" style="172" customWidth="1"/>
    <col min="514" max="514" width="24.26953125" style="172" customWidth="1"/>
    <col min="515" max="515" width="55.7265625" style="172" customWidth="1"/>
    <col min="516" max="516" width="10" style="172" customWidth="1"/>
    <col min="517" max="520" width="19" style="172" customWidth="1"/>
    <col min="521" max="521" width="10.26953125" style="172" customWidth="1"/>
    <col min="522" max="522" width="28.26953125" style="172" customWidth="1"/>
    <col min="523" max="768" width="8.7265625" style="172"/>
    <col min="769" max="769" width="9.26953125" style="172" customWidth="1"/>
    <col min="770" max="770" width="24.26953125" style="172" customWidth="1"/>
    <col min="771" max="771" width="55.7265625" style="172" customWidth="1"/>
    <col min="772" max="772" width="10" style="172" customWidth="1"/>
    <col min="773" max="776" width="19" style="172" customWidth="1"/>
    <col min="777" max="777" width="10.26953125" style="172" customWidth="1"/>
    <col min="778" max="778" width="28.26953125" style="172" customWidth="1"/>
    <col min="779" max="1024" width="8.7265625" style="172"/>
    <col min="1025" max="1025" width="9.26953125" style="172" customWidth="1"/>
    <col min="1026" max="1026" width="24.26953125" style="172" customWidth="1"/>
    <col min="1027" max="1027" width="55.7265625" style="172" customWidth="1"/>
    <col min="1028" max="1028" width="10" style="172" customWidth="1"/>
    <col min="1029" max="1032" width="19" style="172" customWidth="1"/>
    <col min="1033" max="1033" width="10.26953125" style="172" customWidth="1"/>
    <col min="1034" max="1034" width="28.26953125" style="172" customWidth="1"/>
    <col min="1035" max="1280" width="8.7265625" style="172"/>
    <col min="1281" max="1281" width="9.26953125" style="172" customWidth="1"/>
    <col min="1282" max="1282" width="24.26953125" style="172" customWidth="1"/>
    <col min="1283" max="1283" width="55.7265625" style="172" customWidth="1"/>
    <col min="1284" max="1284" width="10" style="172" customWidth="1"/>
    <col min="1285" max="1288" width="19" style="172" customWidth="1"/>
    <col min="1289" max="1289" width="10.26953125" style="172" customWidth="1"/>
    <col min="1290" max="1290" width="28.26953125" style="172" customWidth="1"/>
    <col min="1291" max="1536" width="8.7265625" style="172"/>
    <col min="1537" max="1537" width="9.26953125" style="172" customWidth="1"/>
    <col min="1538" max="1538" width="24.26953125" style="172" customWidth="1"/>
    <col min="1539" max="1539" width="55.7265625" style="172" customWidth="1"/>
    <col min="1540" max="1540" width="10" style="172" customWidth="1"/>
    <col min="1541" max="1544" width="19" style="172" customWidth="1"/>
    <col min="1545" max="1545" width="10.26953125" style="172" customWidth="1"/>
    <col min="1546" max="1546" width="28.26953125" style="172" customWidth="1"/>
    <col min="1547" max="1792" width="8.7265625" style="172"/>
    <col min="1793" max="1793" width="9.26953125" style="172" customWidth="1"/>
    <col min="1794" max="1794" width="24.26953125" style="172" customWidth="1"/>
    <col min="1795" max="1795" width="55.7265625" style="172" customWidth="1"/>
    <col min="1796" max="1796" width="10" style="172" customWidth="1"/>
    <col min="1797" max="1800" width="19" style="172" customWidth="1"/>
    <col min="1801" max="1801" width="10.26953125" style="172" customWidth="1"/>
    <col min="1802" max="1802" width="28.26953125" style="172" customWidth="1"/>
    <col min="1803" max="2048" width="8.7265625" style="172"/>
    <col min="2049" max="2049" width="9.26953125" style="172" customWidth="1"/>
    <col min="2050" max="2050" width="24.26953125" style="172" customWidth="1"/>
    <col min="2051" max="2051" width="55.7265625" style="172" customWidth="1"/>
    <col min="2052" max="2052" width="10" style="172" customWidth="1"/>
    <col min="2053" max="2056" width="19" style="172" customWidth="1"/>
    <col min="2057" max="2057" width="10.26953125" style="172" customWidth="1"/>
    <col min="2058" max="2058" width="28.26953125" style="172" customWidth="1"/>
    <col min="2059" max="2304" width="8.7265625" style="172"/>
    <col min="2305" max="2305" width="9.26953125" style="172" customWidth="1"/>
    <col min="2306" max="2306" width="24.26953125" style="172" customWidth="1"/>
    <col min="2307" max="2307" width="55.7265625" style="172" customWidth="1"/>
    <col min="2308" max="2308" width="10" style="172" customWidth="1"/>
    <col min="2309" max="2312" width="19" style="172" customWidth="1"/>
    <col min="2313" max="2313" width="10.26953125" style="172" customWidth="1"/>
    <col min="2314" max="2314" width="28.26953125" style="172" customWidth="1"/>
    <col min="2315" max="2560" width="8.7265625" style="172"/>
    <col min="2561" max="2561" width="9.26953125" style="172" customWidth="1"/>
    <col min="2562" max="2562" width="24.26953125" style="172" customWidth="1"/>
    <col min="2563" max="2563" width="55.7265625" style="172" customWidth="1"/>
    <col min="2564" max="2564" width="10" style="172" customWidth="1"/>
    <col min="2565" max="2568" width="19" style="172" customWidth="1"/>
    <col min="2569" max="2569" width="10.26953125" style="172" customWidth="1"/>
    <col min="2570" max="2570" width="28.26953125" style="172" customWidth="1"/>
    <col min="2571" max="2816" width="8.7265625" style="172"/>
    <col min="2817" max="2817" width="9.26953125" style="172" customWidth="1"/>
    <col min="2818" max="2818" width="24.26953125" style="172" customWidth="1"/>
    <col min="2819" max="2819" width="55.7265625" style="172" customWidth="1"/>
    <col min="2820" max="2820" width="10" style="172" customWidth="1"/>
    <col min="2821" max="2824" width="19" style="172" customWidth="1"/>
    <col min="2825" max="2825" width="10.26953125" style="172" customWidth="1"/>
    <col min="2826" max="2826" width="28.26953125" style="172" customWidth="1"/>
    <col min="2827" max="3072" width="8.7265625" style="172"/>
    <col min="3073" max="3073" width="9.26953125" style="172" customWidth="1"/>
    <col min="3074" max="3074" width="24.26953125" style="172" customWidth="1"/>
    <col min="3075" max="3075" width="55.7265625" style="172" customWidth="1"/>
    <col min="3076" max="3076" width="10" style="172" customWidth="1"/>
    <col min="3077" max="3080" width="19" style="172" customWidth="1"/>
    <col min="3081" max="3081" width="10.26953125" style="172" customWidth="1"/>
    <col min="3082" max="3082" width="28.26953125" style="172" customWidth="1"/>
    <col min="3083" max="3328" width="8.7265625" style="172"/>
    <col min="3329" max="3329" width="9.26953125" style="172" customWidth="1"/>
    <col min="3330" max="3330" width="24.26953125" style="172" customWidth="1"/>
    <col min="3331" max="3331" width="55.7265625" style="172" customWidth="1"/>
    <col min="3332" max="3332" width="10" style="172" customWidth="1"/>
    <col min="3333" max="3336" width="19" style="172" customWidth="1"/>
    <col min="3337" max="3337" width="10.26953125" style="172" customWidth="1"/>
    <col min="3338" max="3338" width="28.26953125" style="172" customWidth="1"/>
    <col min="3339" max="3584" width="8.7265625" style="172"/>
    <col min="3585" max="3585" width="9.26953125" style="172" customWidth="1"/>
    <col min="3586" max="3586" width="24.26953125" style="172" customWidth="1"/>
    <col min="3587" max="3587" width="55.7265625" style="172" customWidth="1"/>
    <col min="3588" max="3588" width="10" style="172" customWidth="1"/>
    <col min="3589" max="3592" width="19" style="172" customWidth="1"/>
    <col min="3593" max="3593" width="10.26953125" style="172" customWidth="1"/>
    <col min="3594" max="3594" width="28.26953125" style="172" customWidth="1"/>
    <col min="3595" max="3840" width="8.7265625" style="172"/>
    <col min="3841" max="3841" width="9.26953125" style="172" customWidth="1"/>
    <col min="3842" max="3842" width="24.26953125" style="172" customWidth="1"/>
    <col min="3843" max="3843" width="55.7265625" style="172" customWidth="1"/>
    <col min="3844" max="3844" width="10" style="172" customWidth="1"/>
    <col min="3845" max="3848" width="19" style="172" customWidth="1"/>
    <col min="3849" max="3849" width="10.26953125" style="172" customWidth="1"/>
    <col min="3850" max="3850" width="28.26953125" style="172" customWidth="1"/>
    <col min="3851" max="4096" width="8.7265625" style="172"/>
    <col min="4097" max="4097" width="9.26953125" style="172" customWidth="1"/>
    <col min="4098" max="4098" width="24.26953125" style="172" customWidth="1"/>
    <col min="4099" max="4099" width="55.7265625" style="172" customWidth="1"/>
    <col min="4100" max="4100" width="10" style="172" customWidth="1"/>
    <col min="4101" max="4104" width="19" style="172" customWidth="1"/>
    <col min="4105" max="4105" width="10.26953125" style="172" customWidth="1"/>
    <col min="4106" max="4106" width="28.26953125" style="172" customWidth="1"/>
    <col min="4107" max="4352" width="8.7265625" style="172"/>
    <col min="4353" max="4353" width="9.26953125" style="172" customWidth="1"/>
    <col min="4354" max="4354" width="24.26953125" style="172" customWidth="1"/>
    <col min="4355" max="4355" width="55.7265625" style="172" customWidth="1"/>
    <col min="4356" max="4356" width="10" style="172" customWidth="1"/>
    <col min="4357" max="4360" width="19" style="172" customWidth="1"/>
    <col min="4361" max="4361" width="10.26953125" style="172" customWidth="1"/>
    <col min="4362" max="4362" width="28.26953125" style="172" customWidth="1"/>
    <col min="4363" max="4608" width="8.7265625" style="172"/>
    <col min="4609" max="4609" width="9.26953125" style="172" customWidth="1"/>
    <col min="4610" max="4610" width="24.26953125" style="172" customWidth="1"/>
    <col min="4611" max="4611" width="55.7265625" style="172" customWidth="1"/>
    <col min="4612" max="4612" width="10" style="172" customWidth="1"/>
    <col min="4613" max="4616" width="19" style="172" customWidth="1"/>
    <col min="4617" max="4617" width="10.26953125" style="172" customWidth="1"/>
    <col min="4618" max="4618" width="28.26953125" style="172" customWidth="1"/>
    <col min="4619" max="4864" width="8.7265625" style="172"/>
    <col min="4865" max="4865" width="9.26953125" style="172" customWidth="1"/>
    <col min="4866" max="4866" width="24.26953125" style="172" customWidth="1"/>
    <col min="4867" max="4867" width="55.7265625" style="172" customWidth="1"/>
    <col min="4868" max="4868" width="10" style="172" customWidth="1"/>
    <col min="4869" max="4872" width="19" style="172" customWidth="1"/>
    <col min="4873" max="4873" width="10.26953125" style="172" customWidth="1"/>
    <col min="4874" max="4874" width="28.26953125" style="172" customWidth="1"/>
    <col min="4875" max="5120" width="8.7265625" style="172"/>
    <col min="5121" max="5121" width="9.26953125" style="172" customWidth="1"/>
    <col min="5122" max="5122" width="24.26953125" style="172" customWidth="1"/>
    <col min="5123" max="5123" width="55.7265625" style="172" customWidth="1"/>
    <col min="5124" max="5124" width="10" style="172" customWidth="1"/>
    <col min="5125" max="5128" width="19" style="172" customWidth="1"/>
    <col min="5129" max="5129" width="10.26953125" style="172" customWidth="1"/>
    <col min="5130" max="5130" width="28.26953125" style="172" customWidth="1"/>
    <col min="5131" max="5376" width="8.7265625" style="172"/>
    <col min="5377" max="5377" width="9.26953125" style="172" customWidth="1"/>
    <col min="5378" max="5378" width="24.26953125" style="172" customWidth="1"/>
    <col min="5379" max="5379" width="55.7265625" style="172" customWidth="1"/>
    <col min="5380" max="5380" width="10" style="172" customWidth="1"/>
    <col min="5381" max="5384" width="19" style="172" customWidth="1"/>
    <col min="5385" max="5385" width="10.26953125" style="172" customWidth="1"/>
    <col min="5386" max="5386" width="28.26953125" style="172" customWidth="1"/>
    <col min="5387" max="5632" width="8.7265625" style="172"/>
    <col min="5633" max="5633" width="9.26953125" style="172" customWidth="1"/>
    <col min="5634" max="5634" width="24.26953125" style="172" customWidth="1"/>
    <col min="5635" max="5635" width="55.7265625" style="172" customWidth="1"/>
    <col min="5636" max="5636" width="10" style="172" customWidth="1"/>
    <col min="5637" max="5640" width="19" style="172" customWidth="1"/>
    <col min="5641" max="5641" width="10.26953125" style="172" customWidth="1"/>
    <col min="5642" max="5642" width="28.26953125" style="172" customWidth="1"/>
    <col min="5643" max="5888" width="8.7265625" style="172"/>
    <col min="5889" max="5889" width="9.26953125" style="172" customWidth="1"/>
    <col min="5890" max="5890" width="24.26953125" style="172" customWidth="1"/>
    <col min="5891" max="5891" width="55.7265625" style="172" customWidth="1"/>
    <col min="5892" max="5892" width="10" style="172" customWidth="1"/>
    <col min="5893" max="5896" width="19" style="172" customWidth="1"/>
    <col min="5897" max="5897" width="10.26953125" style="172" customWidth="1"/>
    <col min="5898" max="5898" width="28.26953125" style="172" customWidth="1"/>
    <col min="5899" max="6144" width="8.7265625" style="172"/>
    <col min="6145" max="6145" width="9.26953125" style="172" customWidth="1"/>
    <col min="6146" max="6146" width="24.26953125" style="172" customWidth="1"/>
    <col min="6147" max="6147" width="55.7265625" style="172" customWidth="1"/>
    <col min="6148" max="6148" width="10" style="172" customWidth="1"/>
    <col min="6149" max="6152" width="19" style="172" customWidth="1"/>
    <col min="6153" max="6153" width="10.26953125" style="172" customWidth="1"/>
    <col min="6154" max="6154" width="28.26953125" style="172" customWidth="1"/>
    <col min="6155" max="6400" width="8.7265625" style="172"/>
    <col min="6401" max="6401" width="9.26953125" style="172" customWidth="1"/>
    <col min="6402" max="6402" width="24.26953125" style="172" customWidth="1"/>
    <col min="6403" max="6403" width="55.7265625" style="172" customWidth="1"/>
    <col min="6404" max="6404" width="10" style="172" customWidth="1"/>
    <col min="6405" max="6408" width="19" style="172" customWidth="1"/>
    <col min="6409" max="6409" width="10.26953125" style="172" customWidth="1"/>
    <col min="6410" max="6410" width="28.26953125" style="172" customWidth="1"/>
    <col min="6411" max="6656" width="8.7265625" style="172"/>
    <col min="6657" max="6657" width="9.26953125" style="172" customWidth="1"/>
    <col min="6658" max="6658" width="24.26953125" style="172" customWidth="1"/>
    <col min="6659" max="6659" width="55.7265625" style="172" customWidth="1"/>
    <col min="6660" max="6660" width="10" style="172" customWidth="1"/>
    <col min="6661" max="6664" width="19" style="172" customWidth="1"/>
    <col min="6665" max="6665" width="10.26953125" style="172" customWidth="1"/>
    <col min="6666" max="6666" width="28.26953125" style="172" customWidth="1"/>
    <col min="6667" max="6912" width="8.7265625" style="172"/>
    <col min="6913" max="6913" width="9.26953125" style="172" customWidth="1"/>
    <col min="6914" max="6914" width="24.26953125" style="172" customWidth="1"/>
    <col min="6915" max="6915" width="55.7265625" style="172" customWidth="1"/>
    <col min="6916" max="6916" width="10" style="172" customWidth="1"/>
    <col min="6917" max="6920" width="19" style="172" customWidth="1"/>
    <col min="6921" max="6921" width="10.26953125" style="172" customWidth="1"/>
    <col min="6922" max="6922" width="28.26953125" style="172" customWidth="1"/>
    <col min="6923" max="7168" width="8.7265625" style="172"/>
    <col min="7169" max="7169" width="9.26953125" style="172" customWidth="1"/>
    <col min="7170" max="7170" width="24.26953125" style="172" customWidth="1"/>
    <col min="7171" max="7171" width="55.7265625" style="172" customWidth="1"/>
    <col min="7172" max="7172" width="10" style="172" customWidth="1"/>
    <col min="7173" max="7176" width="19" style="172" customWidth="1"/>
    <col min="7177" max="7177" width="10.26953125" style="172" customWidth="1"/>
    <col min="7178" max="7178" width="28.26953125" style="172" customWidth="1"/>
    <col min="7179" max="7424" width="8.7265625" style="172"/>
    <col min="7425" max="7425" width="9.26953125" style="172" customWidth="1"/>
    <col min="7426" max="7426" width="24.26953125" style="172" customWidth="1"/>
    <col min="7427" max="7427" width="55.7265625" style="172" customWidth="1"/>
    <col min="7428" max="7428" width="10" style="172" customWidth="1"/>
    <col min="7429" max="7432" width="19" style="172" customWidth="1"/>
    <col min="7433" max="7433" width="10.26953125" style="172" customWidth="1"/>
    <col min="7434" max="7434" width="28.26953125" style="172" customWidth="1"/>
    <col min="7435" max="7680" width="8.7265625" style="172"/>
    <col min="7681" max="7681" width="9.26953125" style="172" customWidth="1"/>
    <col min="7682" max="7682" width="24.26953125" style="172" customWidth="1"/>
    <col min="7683" max="7683" width="55.7265625" style="172" customWidth="1"/>
    <col min="7684" max="7684" width="10" style="172" customWidth="1"/>
    <col min="7685" max="7688" width="19" style="172" customWidth="1"/>
    <col min="7689" max="7689" width="10.26953125" style="172" customWidth="1"/>
    <col min="7690" max="7690" width="28.26953125" style="172" customWidth="1"/>
    <col min="7691" max="7936" width="8.7265625" style="172"/>
    <col min="7937" max="7937" width="9.26953125" style="172" customWidth="1"/>
    <col min="7938" max="7938" width="24.26953125" style="172" customWidth="1"/>
    <col min="7939" max="7939" width="55.7265625" style="172" customWidth="1"/>
    <col min="7940" max="7940" width="10" style="172" customWidth="1"/>
    <col min="7941" max="7944" width="19" style="172" customWidth="1"/>
    <col min="7945" max="7945" width="10.26953125" style="172" customWidth="1"/>
    <col min="7946" max="7946" width="28.26953125" style="172" customWidth="1"/>
    <col min="7947" max="8192" width="8.7265625" style="172"/>
    <col min="8193" max="8193" width="9.26953125" style="172" customWidth="1"/>
    <col min="8194" max="8194" width="24.26953125" style="172" customWidth="1"/>
    <col min="8195" max="8195" width="55.7265625" style="172" customWidth="1"/>
    <col min="8196" max="8196" width="10" style="172" customWidth="1"/>
    <col min="8197" max="8200" width="19" style="172" customWidth="1"/>
    <col min="8201" max="8201" width="10.26953125" style="172" customWidth="1"/>
    <col min="8202" max="8202" width="28.26953125" style="172" customWidth="1"/>
    <col min="8203" max="8448" width="8.7265625" style="172"/>
    <col min="8449" max="8449" width="9.26953125" style="172" customWidth="1"/>
    <col min="8450" max="8450" width="24.26953125" style="172" customWidth="1"/>
    <col min="8451" max="8451" width="55.7265625" style="172" customWidth="1"/>
    <col min="8452" max="8452" width="10" style="172" customWidth="1"/>
    <col min="8453" max="8456" width="19" style="172" customWidth="1"/>
    <col min="8457" max="8457" width="10.26953125" style="172" customWidth="1"/>
    <col min="8458" max="8458" width="28.26953125" style="172" customWidth="1"/>
    <col min="8459" max="8704" width="8.7265625" style="172"/>
    <col min="8705" max="8705" width="9.26953125" style="172" customWidth="1"/>
    <col min="8706" max="8706" width="24.26953125" style="172" customWidth="1"/>
    <col min="8707" max="8707" width="55.7265625" style="172" customWidth="1"/>
    <col min="8708" max="8708" width="10" style="172" customWidth="1"/>
    <col min="8709" max="8712" width="19" style="172" customWidth="1"/>
    <col min="8713" max="8713" width="10.26953125" style="172" customWidth="1"/>
    <col min="8714" max="8714" width="28.26953125" style="172" customWidth="1"/>
    <col min="8715" max="8960" width="8.7265625" style="172"/>
    <col min="8961" max="8961" width="9.26953125" style="172" customWidth="1"/>
    <col min="8962" max="8962" width="24.26953125" style="172" customWidth="1"/>
    <col min="8963" max="8963" width="55.7265625" style="172" customWidth="1"/>
    <col min="8964" max="8964" width="10" style="172" customWidth="1"/>
    <col min="8965" max="8968" width="19" style="172" customWidth="1"/>
    <col min="8969" max="8969" width="10.26953125" style="172" customWidth="1"/>
    <col min="8970" max="8970" width="28.26953125" style="172" customWidth="1"/>
    <col min="8971" max="9216" width="8.7265625" style="172"/>
    <col min="9217" max="9217" width="9.26953125" style="172" customWidth="1"/>
    <col min="9218" max="9218" width="24.26953125" style="172" customWidth="1"/>
    <col min="9219" max="9219" width="55.7265625" style="172" customWidth="1"/>
    <col min="9220" max="9220" width="10" style="172" customWidth="1"/>
    <col min="9221" max="9224" width="19" style="172" customWidth="1"/>
    <col min="9225" max="9225" width="10.26953125" style="172" customWidth="1"/>
    <col min="9226" max="9226" width="28.26953125" style="172" customWidth="1"/>
    <col min="9227" max="9472" width="8.7265625" style="172"/>
    <col min="9473" max="9473" width="9.26953125" style="172" customWidth="1"/>
    <col min="9474" max="9474" width="24.26953125" style="172" customWidth="1"/>
    <col min="9475" max="9475" width="55.7265625" style="172" customWidth="1"/>
    <col min="9476" max="9476" width="10" style="172" customWidth="1"/>
    <col min="9477" max="9480" width="19" style="172" customWidth="1"/>
    <col min="9481" max="9481" width="10.26953125" style="172" customWidth="1"/>
    <col min="9482" max="9482" width="28.26953125" style="172" customWidth="1"/>
    <col min="9483" max="9728" width="8.7265625" style="172"/>
    <col min="9729" max="9729" width="9.26953125" style="172" customWidth="1"/>
    <col min="9730" max="9730" width="24.26953125" style="172" customWidth="1"/>
    <col min="9731" max="9731" width="55.7265625" style="172" customWidth="1"/>
    <col min="9732" max="9732" width="10" style="172" customWidth="1"/>
    <col min="9733" max="9736" width="19" style="172" customWidth="1"/>
    <col min="9737" max="9737" width="10.26953125" style="172" customWidth="1"/>
    <col min="9738" max="9738" width="28.26953125" style="172" customWidth="1"/>
    <col min="9739" max="9984" width="8.7265625" style="172"/>
    <col min="9985" max="9985" width="9.26953125" style="172" customWidth="1"/>
    <col min="9986" max="9986" width="24.26953125" style="172" customWidth="1"/>
    <col min="9987" max="9987" width="55.7265625" style="172" customWidth="1"/>
    <col min="9988" max="9988" width="10" style="172" customWidth="1"/>
    <col min="9989" max="9992" width="19" style="172" customWidth="1"/>
    <col min="9993" max="9993" width="10.26953125" style="172" customWidth="1"/>
    <col min="9994" max="9994" width="28.26953125" style="172" customWidth="1"/>
    <col min="9995" max="10240" width="8.7265625" style="172"/>
    <col min="10241" max="10241" width="9.26953125" style="172" customWidth="1"/>
    <col min="10242" max="10242" width="24.26953125" style="172" customWidth="1"/>
    <col min="10243" max="10243" width="55.7265625" style="172" customWidth="1"/>
    <col min="10244" max="10244" width="10" style="172" customWidth="1"/>
    <col min="10245" max="10248" width="19" style="172" customWidth="1"/>
    <col min="10249" max="10249" width="10.26953125" style="172" customWidth="1"/>
    <col min="10250" max="10250" width="28.26953125" style="172" customWidth="1"/>
    <col min="10251" max="10496" width="8.7265625" style="172"/>
    <col min="10497" max="10497" width="9.26953125" style="172" customWidth="1"/>
    <col min="10498" max="10498" width="24.26953125" style="172" customWidth="1"/>
    <col min="10499" max="10499" width="55.7265625" style="172" customWidth="1"/>
    <col min="10500" max="10500" width="10" style="172" customWidth="1"/>
    <col min="10501" max="10504" width="19" style="172" customWidth="1"/>
    <col min="10505" max="10505" width="10.26953125" style="172" customWidth="1"/>
    <col min="10506" max="10506" width="28.26953125" style="172" customWidth="1"/>
    <col min="10507" max="10752" width="8.7265625" style="172"/>
    <col min="10753" max="10753" width="9.26953125" style="172" customWidth="1"/>
    <col min="10754" max="10754" width="24.26953125" style="172" customWidth="1"/>
    <col min="10755" max="10755" width="55.7265625" style="172" customWidth="1"/>
    <col min="10756" max="10756" width="10" style="172" customWidth="1"/>
    <col min="10757" max="10760" width="19" style="172" customWidth="1"/>
    <col min="10761" max="10761" width="10.26953125" style="172" customWidth="1"/>
    <col min="10762" max="10762" width="28.26953125" style="172" customWidth="1"/>
    <col min="10763" max="11008" width="8.7265625" style="172"/>
    <col min="11009" max="11009" width="9.26953125" style="172" customWidth="1"/>
    <col min="11010" max="11010" width="24.26953125" style="172" customWidth="1"/>
    <col min="11011" max="11011" width="55.7265625" style="172" customWidth="1"/>
    <col min="11012" max="11012" width="10" style="172" customWidth="1"/>
    <col min="11013" max="11016" width="19" style="172" customWidth="1"/>
    <col min="11017" max="11017" width="10.26953125" style="172" customWidth="1"/>
    <col min="11018" max="11018" width="28.26953125" style="172" customWidth="1"/>
    <col min="11019" max="11264" width="8.7265625" style="172"/>
    <col min="11265" max="11265" width="9.26953125" style="172" customWidth="1"/>
    <col min="11266" max="11266" width="24.26953125" style="172" customWidth="1"/>
    <col min="11267" max="11267" width="55.7265625" style="172" customWidth="1"/>
    <col min="11268" max="11268" width="10" style="172" customWidth="1"/>
    <col min="11269" max="11272" width="19" style="172" customWidth="1"/>
    <col min="11273" max="11273" width="10.26953125" style="172" customWidth="1"/>
    <col min="11274" max="11274" width="28.26953125" style="172" customWidth="1"/>
    <col min="11275" max="11520" width="8.7265625" style="172"/>
    <col min="11521" max="11521" width="9.26953125" style="172" customWidth="1"/>
    <col min="11522" max="11522" width="24.26953125" style="172" customWidth="1"/>
    <col min="11523" max="11523" width="55.7265625" style="172" customWidth="1"/>
    <col min="11524" max="11524" width="10" style="172" customWidth="1"/>
    <col min="11525" max="11528" width="19" style="172" customWidth="1"/>
    <col min="11529" max="11529" width="10.26953125" style="172" customWidth="1"/>
    <col min="11530" max="11530" width="28.26953125" style="172" customWidth="1"/>
    <col min="11531" max="11776" width="8.7265625" style="172"/>
    <col min="11777" max="11777" width="9.26953125" style="172" customWidth="1"/>
    <col min="11778" max="11778" width="24.26953125" style="172" customWidth="1"/>
    <col min="11779" max="11779" width="55.7265625" style="172" customWidth="1"/>
    <col min="11780" max="11780" width="10" style="172" customWidth="1"/>
    <col min="11781" max="11784" width="19" style="172" customWidth="1"/>
    <col min="11785" max="11785" width="10.26953125" style="172" customWidth="1"/>
    <col min="11786" max="11786" width="28.26953125" style="172" customWidth="1"/>
    <col min="11787" max="12032" width="8.7265625" style="172"/>
    <col min="12033" max="12033" width="9.26953125" style="172" customWidth="1"/>
    <col min="12034" max="12034" width="24.26953125" style="172" customWidth="1"/>
    <col min="12035" max="12035" width="55.7265625" style="172" customWidth="1"/>
    <col min="12036" max="12036" width="10" style="172" customWidth="1"/>
    <col min="12037" max="12040" width="19" style="172" customWidth="1"/>
    <col min="12041" max="12041" width="10.26953125" style="172" customWidth="1"/>
    <col min="12042" max="12042" width="28.26953125" style="172" customWidth="1"/>
    <col min="12043" max="12288" width="8.7265625" style="172"/>
    <col min="12289" max="12289" width="9.26953125" style="172" customWidth="1"/>
    <col min="12290" max="12290" width="24.26953125" style="172" customWidth="1"/>
    <col min="12291" max="12291" width="55.7265625" style="172" customWidth="1"/>
    <col min="12292" max="12292" width="10" style="172" customWidth="1"/>
    <col min="12293" max="12296" width="19" style="172" customWidth="1"/>
    <col min="12297" max="12297" width="10.26953125" style="172" customWidth="1"/>
    <col min="12298" max="12298" width="28.26953125" style="172" customWidth="1"/>
    <col min="12299" max="12544" width="8.7265625" style="172"/>
    <col min="12545" max="12545" width="9.26953125" style="172" customWidth="1"/>
    <col min="12546" max="12546" width="24.26953125" style="172" customWidth="1"/>
    <col min="12547" max="12547" width="55.7265625" style="172" customWidth="1"/>
    <col min="12548" max="12548" width="10" style="172" customWidth="1"/>
    <col min="12549" max="12552" width="19" style="172" customWidth="1"/>
    <col min="12553" max="12553" width="10.26953125" style="172" customWidth="1"/>
    <col min="12554" max="12554" width="28.26953125" style="172" customWidth="1"/>
    <col min="12555" max="12800" width="8.7265625" style="172"/>
    <col min="12801" max="12801" width="9.26953125" style="172" customWidth="1"/>
    <col min="12802" max="12802" width="24.26953125" style="172" customWidth="1"/>
    <col min="12803" max="12803" width="55.7265625" style="172" customWidth="1"/>
    <col min="12804" max="12804" width="10" style="172" customWidth="1"/>
    <col min="12805" max="12808" width="19" style="172" customWidth="1"/>
    <col min="12809" max="12809" width="10.26953125" style="172" customWidth="1"/>
    <col min="12810" max="12810" width="28.26953125" style="172" customWidth="1"/>
    <col min="12811" max="13056" width="8.7265625" style="172"/>
    <col min="13057" max="13057" width="9.26953125" style="172" customWidth="1"/>
    <col min="13058" max="13058" width="24.26953125" style="172" customWidth="1"/>
    <col min="13059" max="13059" width="55.7265625" style="172" customWidth="1"/>
    <col min="13060" max="13060" width="10" style="172" customWidth="1"/>
    <col min="13061" max="13064" width="19" style="172" customWidth="1"/>
    <col min="13065" max="13065" width="10.26953125" style="172" customWidth="1"/>
    <col min="13066" max="13066" width="28.26953125" style="172" customWidth="1"/>
    <col min="13067" max="13312" width="8.7265625" style="172"/>
    <col min="13313" max="13313" width="9.26953125" style="172" customWidth="1"/>
    <col min="13314" max="13314" width="24.26953125" style="172" customWidth="1"/>
    <col min="13315" max="13315" width="55.7265625" style="172" customWidth="1"/>
    <col min="13316" max="13316" width="10" style="172" customWidth="1"/>
    <col min="13317" max="13320" width="19" style="172" customWidth="1"/>
    <col min="13321" max="13321" width="10.26953125" style="172" customWidth="1"/>
    <col min="13322" max="13322" width="28.26953125" style="172" customWidth="1"/>
    <col min="13323" max="13568" width="8.7265625" style="172"/>
    <col min="13569" max="13569" width="9.26953125" style="172" customWidth="1"/>
    <col min="13570" max="13570" width="24.26953125" style="172" customWidth="1"/>
    <col min="13571" max="13571" width="55.7265625" style="172" customWidth="1"/>
    <col min="13572" max="13572" width="10" style="172" customWidth="1"/>
    <col min="13573" max="13576" width="19" style="172" customWidth="1"/>
    <col min="13577" max="13577" width="10.26953125" style="172" customWidth="1"/>
    <col min="13578" max="13578" width="28.26953125" style="172" customWidth="1"/>
    <col min="13579" max="13824" width="8.7265625" style="172"/>
    <col min="13825" max="13825" width="9.26953125" style="172" customWidth="1"/>
    <col min="13826" max="13826" width="24.26953125" style="172" customWidth="1"/>
    <col min="13827" max="13827" width="55.7265625" style="172" customWidth="1"/>
    <col min="13828" max="13828" width="10" style="172" customWidth="1"/>
    <col min="13829" max="13832" width="19" style="172" customWidth="1"/>
    <col min="13833" max="13833" width="10.26953125" style="172" customWidth="1"/>
    <col min="13834" max="13834" width="28.26953125" style="172" customWidth="1"/>
    <col min="13835" max="14080" width="8.7265625" style="172"/>
    <col min="14081" max="14081" width="9.26953125" style="172" customWidth="1"/>
    <col min="14082" max="14082" width="24.26953125" style="172" customWidth="1"/>
    <col min="14083" max="14083" width="55.7265625" style="172" customWidth="1"/>
    <col min="14084" max="14084" width="10" style="172" customWidth="1"/>
    <col min="14085" max="14088" width="19" style="172" customWidth="1"/>
    <col min="14089" max="14089" width="10.26953125" style="172" customWidth="1"/>
    <col min="14090" max="14090" width="28.26953125" style="172" customWidth="1"/>
    <col min="14091" max="14336" width="8.7265625" style="172"/>
    <col min="14337" max="14337" width="9.26953125" style="172" customWidth="1"/>
    <col min="14338" max="14338" width="24.26953125" style="172" customWidth="1"/>
    <col min="14339" max="14339" width="55.7265625" style="172" customWidth="1"/>
    <col min="14340" max="14340" width="10" style="172" customWidth="1"/>
    <col min="14341" max="14344" width="19" style="172" customWidth="1"/>
    <col min="14345" max="14345" width="10.26953125" style="172" customWidth="1"/>
    <col min="14346" max="14346" width="28.26953125" style="172" customWidth="1"/>
    <col min="14347" max="14592" width="8.7265625" style="172"/>
    <col min="14593" max="14593" width="9.26953125" style="172" customWidth="1"/>
    <col min="14594" max="14594" width="24.26953125" style="172" customWidth="1"/>
    <col min="14595" max="14595" width="55.7265625" style="172" customWidth="1"/>
    <col min="14596" max="14596" width="10" style="172" customWidth="1"/>
    <col min="14597" max="14600" width="19" style="172" customWidth="1"/>
    <col min="14601" max="14601" width="10.26953125" style="172" customWidth="1"/>
    <col min="14602" max="14602" width="28.26953125" style="172" customWidth="1"/>
    <col min="14603" max="14848" width="8.7265625" style="172"/>
    <col min="14849" max="14849" width="9.26953125" style="172" customWidth="1"/>
    <col min="14850" max="14850" width="24.26953125" style="172" customWidth="1"/>
    <col min="14851" max="14851" width="55.7265625" style="172" customWidth="1"/>
    <col min="14852" max="14852" width="10" style="172" customWidth="1"/>
    <col min="14853" max="14856" width="19" style="172" customWidth="1"/>
    <col min="14857" max="14857" width="10.26953125" style="172" customWidth="1"/>
    <col min="14858" max="14858" width="28.26953125" style="172" customWidth="1"/>
    <col min="14859" max="15104" width="8.7265625" style="172"/>
    <col min="15105" max="15105" width="9.26953125" style="172" customWidth="1"/>
    <col min="15106" max="15106" width="24.26953125" style="172" customWidth="1"/>
    <col min="15107" max="15107" width="55.7265625" style="172" customWidth="1"/>
    <col min="15108" max="15108" width="10" style="172" customWidth="1"/>
    <col min="15109" max="15112" width="19" style="172" customWidth="1"/>
    <col min="15113" max="15113" width="10.26953125" style="172" customWidth="1"/>
    <col min="15114" max="15114" width="28.26953125" style="172" customWidth="1"/>
    <col min="15115" max="15360" width="8.7265625" style="172"/>
    <col min="15361" max="15361" width="9.26953125" style="172" customWidth="1"/>
    <col min="15362" max="15362" width="24.26953125" style="172" customWidth="1"/>
    <col min="15363" max="15363" width="55.7265625" style="172" customWidth="1"/>
    <col min="15364" max="15364" width="10" style="172" customWidth="1"/>
    <col min="15365" max="15368" width="19" style="172" customWidth="1"/>
    <col min="15369" max="15369" width="10.26953125" style="172" customWidth="1"/>
    <col min="15370" max="15370" width="28.26953125" style="172" customWidth="1"/>
    <col min="15371" max="15616" width="8.7265625" style="172"/>
    <col min="15617" max="15617" width="9.26953125" style="172" customWidth="1"/>
    <col min="15618" max="15618" width="24.26953125" style="172" customWidth="1"/>
    <col min="15619" max="15619" width="55.7265625" style="172" customWidth="1"/>
    <col min="15620" max="15620" width="10" style="172" customWidth="1"/>
    <col min="15621" max="15624" width="19" style="172" customWidth="1"/>
    <col min="15625" max="15625" width="10.26953125" style="172" customWidth="1"/>
    <col min="15626" max="15626" width="28.26953125" style="172" customWidth="1"/>
    <col min="15627" max="15872" width="8.7265625" style="172"/>
    <col min="15873" max="15873" width="9.26953125" style="172" customWidth="1"/>
    <col min="15874" max="15874" width="24.26953125" style="172" customWidth="1"/>
    <col min="15875" max="15875" width="55.7265625" style="172" customWidth="1"/>
    <col min="15876" max="15876" width="10" style="172" customWidth="1"/>
    <col min="15877" max="15880" width="19" style="172" customWidth="1"/>
    <col min="15881" max="15881" width="10.26953125" style="172" customWidth="1"/>
    <col min="15882" max="15882" width="28.26953125" style="172" customWidth="1"/>
    <col min="15883" max="16128" width="8.7265625" style="172"/>
    <col min="16129" max="16129" width="9.26953125" style="172" customWidth="1"/>
    <col min="16130" max="16130" width="24.26953125" style="172" customWidth="1"/>
    <col min="16131" max="16131" width="55.7265625" style="172" customWidth="1"/>
    <col min="16132" max="16132" width="10" style="172" customWidth="1"/>
    <col min="16133" max="16136" width="19" style="172" customWidth="1"/>
    <col min="16137" max="16137" width="10.26953125" style="172" customWidth="1"/>
    <col min="16138" max="16138" width="28.26953125" style="172" customWidth="1"/>
    <col min="16139" max="16384" width="8.7265625" style="172"/>
  </cols>
  <sheetData>
    <row r="1" spans="1:10" s="163" customFormat="1" ht="19.5" customHeight="1" thickBot="1">
      <c r="A1" s="422" t="s">
        <v>1481</v>
      </c>
      <c r="B1" s="423"/>
      <c r="C1" s="423"/>
      <c r="D1" s="423"/>
      <c r="E1" s="423"/>
      <c r="F1" s="423"/>
      <c r="G1" s="423"/>
      <c r="H1" s="423"/>
      <c r="I1" s="423"/>
      <c r="J1" s="423"/>
    </row>
    <row r="2" spans="1:10" s="165" customFormat="1" ht="29.25" customHeight="1" thickBot="1">
      <c r="A2" s="164" t="s">
        <v>23</v>
      </c>
      <c r="B2" s="164" t="s">
        <v>1482</v>
      </c>
      <c r="C2" s="164" t="s">
        <v>1483</v>
      </c>
      <c r="D2" s="164" t="s">
        <v>1484</v>
      </c>
      <c r="E2" s="164" t="s">
        <v>1485</v>
      </c>
      <c r="F2" s="164" t="s">
        <v>1486</v>
      </c>
      <c r="G2" s="164" t="s">
        <v>1487</v>
      </c>
      <c r="H2" s="164" t="s">
        <v>1488</v>
      </c>
      <c r="I2" s="164" t="s">
        <v>1489</v>
      </c>
      <c r="J2" s="164" t="s">
        <v>1490</v>
      </c>
    </row>
    <row r="3" spans="1:10" ht="14.9" customHeight="1">
      <c r="A3" s="166">
        <v>1.111</v>
      </c>
      <c r="B3" s="167" t="s">
        <v>1458</v>
      </c>
      <c r="C3" s="167" t="s">
        <v>1491</v>
      </c>
      <c r="D3" s="168">
        <v>2</v>
      </c>
      <c r="E3" s="168">
        <v>867</v>
      </c>
      <c r="F3" s="168">
        <v>8506</v>
      </c>
      <c r="G3" s="169">
        <f>E3*0.09290304</f>
        <v>80.546935680000004</v>
      </c>
      <c r="H3" s="169">
        <f>F3*0.028316847</f>
        <v>240.86310058199999</v>
      </c>
      <c r="I3" s="170" t="s">
        <v>1492</v>
      </c>
      <c r="J3" s="171"/>
    </row>
    <row r="4" spans="1:10" ht="14.9" customHeight="1">
      <c r="A4" s="173">
        <v>1.111</v>
      </c>
      <c r="B4" s="174" t="s">
        <v>1455</v>
      </c>
      <c r="C4" s="174" t="s">
        <v>1493</v>
      </c>
      <c r="D4" s="175">
        <v>2</v>
      </c>
      <c r="E4" s="175">
        <v>354</v>
      </c>
      <c r="F4" s="175">
        <v>3246</v>
      </c>
      <c r="G4" s="176">
        <f t="shared" ref="G4:G68" si="0">E4*0.09290304</f>
        <v>32.887676160000005</v>
      </c>
      <c r="H4" s="176">
        <f t="shared" ref="H4:H68" si="1">F4*0.028316847</f>
        <v>91.916485362000003</v>
      </c>
      <c r="I4" s="177" t="s">
        <v>1492</v>
      </c>
      <c r="J4" s="178"/>
    </row>
    <row r="5" spans="1:10" ht="14.9" customHeight="1">
      <c r="A5" s="179">
        <v>1.113</v>
      </c>
      <c r="B5" s="180" t="s">
        <v>1452</v>
      </c>
      <c r="C5" s="180" t="s">
        <v>1467</v>
      </c>
      <c r="D5" s="181" t="s">
        <v>1494</v>
      </c>
      <c r="E5" s="182">
        <v>60</v>
      </c>
      <c r="F5" s="182">
        <v>510</v>
      </c>
      <c r="G5" s="176">
        <f t="shared" si="0"/>
        <v>5.5741824000000006</v>
      </c>
      <c r="H5" s="176">
        <f t="shared" si="1"/>
        <v>14.441591969999999</v>
      </c>
      <c r="I5" s="177" t="s">
        <v>1492</v>
      </c>
      <c r="J5" s="178"/>
    </row>
    <row r="6" spans="1:10" ht="14.9" customHeight="1">
      <c r="A6" s="173">
        <v>1.121</v>
      </c>
      <c r="B6" s="180" t="s">
        <v>801</v>
      </c>
      <c r="C6" s="180" t="s">
        <v>1495</v>
      </c>
      <c r="D6" s="181" t="s">
        <v>1496</v>
      </c>
      <c r="E6" s="182">
        <v>35</v>
      </c>
      <c r="F6" s="182">
        <v>259</v>
      </c>
      <c r="G6" s="176">
        <f t="shared" si="0"/>
        <v>3.2516064</v>
      </c>
      <c r="H6" s="176">
        <f t="shared" si="1"/>
        <v>7.3340633730000002</v>
      </c>
      <c r="I6" s="177" t="s">
        <v>1492</v>
      </c>
      <c r="J6" s="178"/>
    </row>
    <row r="7" spans="1:10" ht="14.9" customHeight="1">
      <c r="A7" s="179">
        <v>1.121</v>
      </c>
      <c r="B7" s="180" t="s">
        <v>1441</v>
      </c>
      <c r="C7" s="180" t="s">
        <v>1497</v>
      </c>
      <c r="D7" s="181" t="s">
        <v>1498</v>
      </c>
      <c r="E7" s="182">
        <v>328</v>
      </c>
      <c r="F7" s="182">
        <v>3694</v>
      </c>
      <c r="G7" s="176">
        <f t="shared" si="0"/>
        <v>30.472197120000001</v>
      </c>
      <c r="H7" s="176">
        <f t="shared" si="1"/>
        <v>104.602432818</v>
      </c>
      <c r="I7" s="177" t="s">
        <v>1492</v>
      </c>
      <c r="J7" s="178"/>
    </row>
    <row r="8" spans="1:10" ht="14.9" customHeight="1">
      <c r="A8" s="179">
        <v>1.121</v>
      </c>
      <c r="B8" s="180" t="s">
        <v>1434</v>
      </c>
      <c r="C8" s="180" t="s">
        <v>1499</v>
      </c>
      <c r="D8" s="181" t="s">
        <v>1498</v>
      </c>
      <c r="E8" s="182">
        <v>173</v>
      </c>
      <c r="F8" s="182">
        <v>1745</v>
      </c>
      <c r="G8" s="176">
        <f t="shared" si="0"/>
        <v>16.072225920000001</v>
      </c>
      <c r="H8" s="176">
        <f t="shared" si="1"/>
        <v>49.412898014999996</v>
      </c>
      <c r="I8" s="177" t="s">
        <v>1492</v>
      </c>
      <c r="J8" s="178"/>
    </row>
    <row r="9" spans="1:10" ht="14.9" customHeight="1">
      <c r="A9" s="179">
        <v>1.121</v>
      </c>
      <c r="B9" s="180" t="s">
        <v>1432</v>
      </c>
      <c r="C9" s="180" t="s">
        <v>1500</v>
      </c>
      <c r="D9" s="181" t="s">
        <v>1498</v>
      </c>
      <c r="E9" s="182">
        <v>173</v>
      </c>
      <c r="F9" s="182">
        <v>1745</v>
      </c>
      <c r="G9" s="176">
        <f t="shared" si="0"/>
        <v>16.072225920000001</v>
      </c>
      <c r="H9" s="176">
        <f t="shared" si="1"/>
        <v>49.412898014999996</v>
      </c>
      <c r="I9" s="177" t="s">
        <v>1492</v>
      </c>
      <c r="J9" s="178"/>
    </row>
    <row r="10" spans="1:10" ht="14.9" customHeight="1">
      <c r="A10" s="179">
        <v>1.121</v>
      </c>
      <c r="B10" s="180" t="s">
        <v>1439</v>
      </c>
      <c r="C10" s="180" t="s">
        <v>1501</v>
      </c>
      <c r="D10" s="181" t="s">
        <v>1498</v>
      </c>
      <c r="E10" s="182">
        <v>570</v>
      </c>
      <c r="F10" s="182">
        <v>6936</v>
      </c>
      <c r="G10" s="176">
        <f t="shared" si="0"/>
        <v>52.954732800000002</v>
      </c>
      <c r="H10" s="176">
        <f t="shared" si="1"/>
        <v>196.40565079199999</v>
      </c>
      <c r="I10" s="177" t="s">
        <v>1492</v>
      </c>
      <c r="J10" s="178"/>
    </row>
    <row r="11" spans="1:10" ht="14.9" customHeight="1">
      <c r="A11" s="179">
        <v>1.121</v>
      </c>
      <c r="B11" s="180" t="s">
        <v>1428</v>
      </c>
      <c r="C11" s="180" t="s">
        <v>1502</v>
      </c>
      <c r="D11" s="181" t="s">
        <v>1498</v>
      </c>
      <c r="E11" s="182">
        <v>191</v>
      </c>
      <c r="F11" s="182">
        <v>2005</v>
      </c>
      <c r="G11" s="176">
        <f t="shared" si="0"/>
        <v>17.744480640000003</v>
      </c>
      <c r="H11" s="176">
        <f t="shared" si="1"/>
        <v>56.775278235000002</v>
      </c>
      <c r="I11" s="177" t="s">
        <v>1503</v>
      </c>
      <c r="J11" s="178" t="s">
        <v>1504</v>
      </c>
    </row>
    <row r="12" spans="1:10" ht="14.9" customHeight="1">
      <c r="A12" s="179">
        <v>1.121</v>
      </c>
      <c r="B12" s="180" t="s">
        <v>1430</v>
      </c>
      <c r="C12" s="180" t="s">
        <v>1505</v>
      </c>
      <c r="D12" s="181" t="s">
        <v>1498</v>
      </c>
      <c r="E12" s="182">
        <v>191</v>
      </c>
      <c r="F12" s="182">
        <v>2005</v>
      </c>
      <c r="G12" s="176">
        <f t="shared" si="0"/>
        <v>17.744480640000003</v>
      </c>
      <c r="H12" s="176">
        <f t="shared" si="1"/>
        <v>56.775278235000002</v>
      </c>
      <c r="I12" s="177" t="s">
        <v>1503</v>
      </c>
      <c r="J12" s="178" t="s">
        <v>1504</v>
      </c>
    </row>
    <row r="13" spans="1:10" ht="14.9" customHeight="1">
      <c r="A13" s="173">
        <v>1.121</v>
      </c>
      <c r="B13" s="174" t="s">
        <v>1437</v>
      </c>
      <c r="C13" s="174" t="s">
        <v>1506</v>
      </c>
      <c r="D13" s="183" t="s">
        <v>1507</v>
      </c>
      <c r="E13" s="182">
        <v>362</v>
      </c>
      <c r="F13" s="182">
        <v>3479</v>
      </c>
      <c r="G13" s="176">
        <f t="shared" si="0"/>
        <v>33.630900480000001</v>
      </c>
      <c r="H13" s="176">
        <f t="shared" si="1"/>
        <v>98.514310713</v>
      </c>
      <c r="I13" s="177" t="s">
        <v>1492</v>
      </c>
      <c r="J13" s="178"/>
    </row>
    <row r="14" spans="1:10" ht="14.9" customHeight="1">
      <c r="A14" s="179">
        <v>1.1220000000000001</v>
      </c>
      <c r="B14" s="180" t="s">
        <v>1508</v>
      </c>
      <c r="C14" s="180" t="s">
        <v>1509</v>
      </c>
      <c r="D14" s="181" t="s">
        <v>1510</v>
      </c>
      <c r="E14" s="182">
        <v>145</v>
      </c>
      <c r="F14" s="182">
        <v>1194</v>
      </c>
      <c r="G14" s="176">
        <f t="shared" si="0"/>
        <v>13.470940800000001</v>
      </c>
      <c r="H14" s="176">
        <f t="shared" si="1"/>
        <v>33.810315318000001</v>
      </c>
      <c r="I14" s="177" t="s">
        <v>1492</v>
      </c>
      <c r="J14" s="178"/>
    </row>
    <row r="15" spans="1:10" ht="14.9" customHeight="1">
      <c r="A15" s="173">
        <v>1.1220000000000001</v>
      </c>
      <c r="B15" s="174" t="s">
        <v>1511</v>
      </c>
      <c r="C15" s="174" t="s">
        <v>1512</v>
      </c>
      <c r="D15" s="175">
        <v>1</v>
      </c>
      <c r="E15" s="175">
        <v>500</v>
      </c>
      <c r="F15" s="175">
        <v>5285</v>
      </c>
      <c r="G15" s="176">
        <f t="shared" si="0"/>
        <v>46.451520000000002</v>
      </c>
      <c r="H15" s="176">
        <f t="shared" si="1"/>
        <v>149.65453639500001</v>
      </c>
      <c r="I15" s="177" t="s">
        <v>1492</v>
      </c>
      <c r="J15" s="178"/>
    </row>
    <row r="16" spans="1:10" ht="14.9" customHeight="1">
      <c r="A16" s="173">
        <v>1.1220000000000001</v>
      </c>
      <c r="B16" s="174" t="s">
        <v>1513</v>
      </c>
      <c r="C16" s="174" t="s">
        <v>1514</v>
      </c>
      <c r="D16" s="175">
        <v>2</v>
      </c>
      <c r="E16" s="175">
        <v>326</v>
      </c>
      <c r="F16" s="175">
        <v>3780</v>
      </c>
      <c r="G16" s="176">
        <f t="shared" si="0"/>
        <v>30.286391040000002</v>
      </c>
      <c r="H16" s="176">
        <f t="shared" si="1"/>
        <v>107.03768165999999</v>
      </c>
      <c r="I16" s="177" t="s">
        <v>1492</v>
      </c>
      <c r="J16" s="178"/>
    </row>
    <row r="17" spans="1:10" ht="14.9" customHeight="1">
      <c r="A17" s="173">
        <v>1.1220000000000001</v>
      </c>
      <c r="B17" s="174" t="s">
        <v>1515</v>
      </c>
      <c r="C17" s="174" t="s">
        <v>1516</v>
      </c>
      <c r="D17" s="175">
        <v>2</v>
      </c>
      <c r="E17" s="175">
        <v>57</v>
      </c>
      <c r="F17" s="175">
        <v>68</v>
      </c>
      <c r="G17" s="176">
        <f t="shared" si="0"/>
        <v>5.2954732800000004</v>
      </c>
      <c r="H17" s="176">
        <f t="shared" si="1"/>
        <v>1.9255455959999999</v>
      </c>
      <c r="I17" s="177" t="s">
        <v>1492</v>
      </c>
      <c r="J17" s="178"/>
    </row>
    <row r="18" spans="1:10" ht="14.9" customHeight="1">
      <c r="A18" s="173">
        <v>1.1220000000000001</v>
      </c>
      <c r="B18" s="174" t="s">
        <v>1517</v>
      </c>
      <c r="C18" s="174" t="s">
        <v>1518</v>
      </c>
      <c r="D18" s="175">
        <v>2</v>
      </c>
      <c r="E18" s="175">
        <v>403</v>
      </c>
      <c r="F18" s="175">
        <v>4288</v>
      </c>
      <c r="G18" s="176">
        <f t="shared" si="0"/>
        <v>37.439925120000005</v>
      </c>
      <c r="H18" s="176">
        <f t="shared" si="1"/>
        <v>121.422639936</v>
      </c>
      <c r="I18" s="177" t="s">
        <v>1492</v>
      </c>
      <c r="J18" s="178"/>
    </row>
    <row r="19" spans="1:10" ht="14.9" customHeight="1">
      <c r="A19" s="173">
        <v>1.1220000000000001</v>
      </c>
      <c r="B19" s="174" t="s">
        <v>1396</v>
      </c>
      <c r="C19" s="174" t="s">
        <v>1519</v>
      </c>
      <c r="D19" s="175">
        <v>2</v>
      </c>
      <c r="E19" s="175">
        <v>82</v>
      </c>
      <c r="F19" s="175">
        <v>949</v>
      </c>
      <c r="G19" s="176">
        <f t="shared" si="0"/>
        <v>7.6180492800000001</v>
      </c>
      <c r="H19" s="176">
        <f t="shared" si="1"/>
        <v>26.872687802999998</v>
      </c>
      <c r="I19" s="177" t="s">
        <v>1492</v>
      </c>
      <c r="J19" s="178"/>
    </row>
    <row r="20" spans="1:10" ht="14.9" customHeight="1">
      <c r="A20" s="173">
        <v>1.1220000000000001</v>
      </c>
      <c r="B20" s="174" t="s">
        <v>1520</v>
      </c>
      <c r="C20" s="174" t="s">
        <v>1521</v>
      </c>
      <c r="D20" s="175">
        <v>3</v>
      </c>
      <c r="E20" s="175">
        <v>210</v>
      </c>
      <c r="F20" s="175">
        <v>2269</v>
      </c>
      <c r="G20" s="176">
        <f t="shared" si="0"/>
        <v>19.5096384</v>
      </c>
      <c r="H20" s="176">
        <f t="shared" si="1"/>
        <v>64.250925843000005</v>
      </c>
      <c r="I20" s="177" t="s">
        <v>1492</v>
      </c>
      <c r="J20" s="178"/>
    </row>
    <row r="21" spans="1:10" ht="14.9" customHeight="1">
      <c r="A21" s="173">
        <v>1.1220000000000001</v>
      </c>
      <c r="B21" s="174" t="s">
        <v>1522</v>
      </c>
      <c r="C21" s="174" t="s">
        <v>1523</v>
      </c>
      <c r="D21" s="175">
        <v>4</v>
      </c>
      <c r="E21" s="175">
        <v>411</v>
      </c>
      <c r="F21" s="175">
        <v>4759</v>
      </c>
      <c r="G21" s="176">
        <f t="shared" si="0"/>
        <v>38.183149440000001</v>
      </c>
      <c r="H21" s="176">
        <f t="shared" si="1"/>
        <v>134.759874873</v>
      </c>
      <c r="I21" s="177" t="s">
        <v>1492</v>
      </c>
      <c r="J21" s="178"/>
    </row>
    <row r="22" spans="1:10" ht="14.9" customHeight="1">
      <c r="A22" s="173">
        <v>1.1220000000000001</v>
      </c>
      <c r="B22" s="174" t="s">
        <v>1524</v>
      </c>
      <c r="C22" s="174" t="s">
        <v>1525</v>
      </c>
      <c r="D22" s="175">
        <v>5</v>
      </c>
      <c r="E22" s="175">
        <v>0</v>
      </c>
      <c r="F22" s="182">
        <v>218</v>
      </c>
      <c r="G22" s="176">
        <f t="shared" si="0"/>
        <v>0</v>
      </c>
      <c r="H22" s="176">
        <f t="shared" si="1"/>
        <v>6.1730726459999996</v>
      </c>
      <c r="I22" s="177" t="s">
        <v>1492</v>
      </c>
      <c r="J22" s="178"/>
    </row>
    <row r="23" spans="1:10" ht="14.9" customHeight="1">
      <c r="A23" s="173">
        <v>1.1220000000000001</v>
      </c>
      <c r="B23" s="174" t="s">
        <v>1399</v>
      </c>
      <c r="C23" s="174" t="s">
        <v>1526</v>
      </c>
      <c r="D23" s="175">
        <v>5</v>
      </c>
      <c r="E23" s="175">
        <v>0</v>
      </c>
      <c r="F23" s="182">
        <v>73</v>
      </c>
      <c r="G23" s="176">
        <f t="shared" si="0"/>
        <v>0</v>
      </c>
      <c r="H23" s="176">
        <f t="shared" si="1"/>
        <v>2.0671298309999999</v>
      </c>
      <c r="I23" s="177" t="s">
        <v>1492</v>
      </c>
      <c r="J23" s="178"/>
    </row>
    <row r="24" spans="1:10" ht="14.9" customHeight="1">
      <c r="A24" s="173">
        <v>1.1220000000000001</v>
      </c>
      <c r="B24" s="180" t="s">
        <v>1527</v>
      </c>
      <c r="C24" s="180" t="s">
        <v>1528</v>
      </c>
      <c r="D24" s="182">
        <v>6</v>
      </c>
      <c r="E24" s="175">
        <v>0</v>
      </c>
      <c r="F24" s="182">
        <v>3463</v>
      </c>
      <c r="G24" s="176">
        <f t="shared" si="0"/>
        <v>0</v>
      </c>
      <c r="H24" s="176">
        <f t="shared" si="1"/>
        <v>98.061241160999998</v>
      </c>
      <c r="I24" s="177" t="s">
        <v>1492</v>
      </c>
      <c r="J24" s="178"/>
    </row>
    <row r="25" spans="1:10" ht="14.9" customHeight="1">
      <c r="A25" s="173">
        <v>1.1220000000000001</v>
      </c>
      <c r="B25" s="180" t="s">
        <v>1529</v>
      </c>
      <c r="C25" s="180" t="s">
        <v>1530</v>
      </c>
      <c r="D25" s="182">
        <v>6</v>
      </c>
      <c r="E25" s="182">
        <v>0</v>
      </c>
      <c r="F25" s="182">
        <v>253</v>
      </c>
      <c r="G25" s="176">
        <f t="shared" si="0"/>
        <v>0</v>
      </c>
      <c r="H25" s="176">
        <f t="shared" si="1"/>
        <v>7.1641622909999993</v>
      </c>
      <c r="I25" s="177" t="s">
        <v>1492</v>
      </c>
      <c r="J25" s="178"/>
    </row>
    <row r="26" spans="1:10" ht="14.9" customHeight="1">
      <c r="A26" s="173">
        <v>1.131</v>
      </c>
      <c r="B26" s="174" t="s">
        <v>1393</v>
      </c>
      <c r="C26" s="174" t="s">
        <v>1392</v>
      </c>
      <c r="D26" s="175">
        <v>1</v>
      </c>
      <c r="E26" s="175">
        <v>1947</v>
      </c>
      <c r="F26" s="175">
        <v>18417</v>
      </c>
      <c r="G26" s="176">
        <f t="shared" si="0"/>
        <v>180.88221888000001</v>
      </c>
      <c r="H26" s="176">
        <f t="shared" si="1"/>
        <v>521.511371199</v>
      </c>
      <c r="I26" s="184" t="s">
        <v>1492</v>
      </c>
      <c r="J26" s="185"/>
    </row>
    <row r="27" spans="1:10" ht="14.9" customHeight="1">
      <c r="A27" s="179">
        <v>1.1319999999999999</v>
      </c>
      <c r="B27" s="180" t="s">
        <v>1390</v>
      </c>
      <c r="C27" s="180" t="s">
        <v>101</v>
      </c>
      <c r="D27" s="181" t="s">
        <v>1494</v>
      </c>
      <c r="E27" s="182">
        <v>688</v>
      </c>
      <c r="F27" s="182">
        <v>5848</v>
      </c>
      <c r="G27" s="176">
        <f t="shared" si="0"/>
        <v>63.917291520000006</v>
      </c>
      <c r="H27" s="176">
        <f t="shared" si="1"/>
        <v>165.596921256</v>
      </c>
      <c r="I27" s="177" t="s">
        <v>1492</v>
      </c>
      <c r="J27" s="178"/>
    </row>
    <row r="28" spans="1:10" ht="14.9" customHeight="1">
      <c r="A28" s="179">
        <v>1.1319999999999999</v>
      </c>
      <c r="B28" s="180" t="s">
        <v>1387</v>
      </c>
      <c r="C28" s="180" t="s">
        <v>102</v>
      </c>
      <c r="D28" s="181" t="s">
        <v>1494</v>
      </c>
      <c r="E28" s="182">
        <v>112</v>
      </c>
      <c r="F28" s="182">
        <v>952</v>
      </c>
      <c r="G28" s="176">
        <f t="shared" si="0"/>
        <v>10.40514048</v>
      </c>
      <c r="H28" s="176">
        <f t="shared" si="1"/>
        <v>26.957638343999999</v>
      </c>
      <c r="I28" s="177" t="s">
        <v>1492</v>
      </c>
      <c r="J28" s="178"/>
    </row>
    <row r="29" spans="1:10" ht="14.9" customHeight="1">
      <c r="A29" s="173">
        <v>1.1339999999999999</v>
      </c>
      <c r="B29" s="174" t="s">
        <v>1380</v>
      </c>
      <c r="C29" s="174" t="s">
        <v>1531</v>
      </c>
      <c r="D29" s="175">
        <v>1</v>
      </c>
      <c r="E29" s="175">
        <v>568</v>
      </c>
      <c r="F29" s="175">
        <v>5211</v>
      </c>
      <c r="G29" s="176">
        <f t="shared" si="0"/>
        <v>52.768926720000003</v>
      </c>
      <c r="H29" s="176">
        <f t="shared" si="1"/>
        <v>147.55908971700001</v>
      </c>
      <c r="I29" s="177" t="s">
        <v>1492</v>
      </c>
      <c r="J29" s="178"/>
    </row>
    <row r="30" spans="1:10" ht="14.9" customHeight="1">
      <c r="A30" s="173">
        <v>1.1339999999999999</v>
      </c>
      <c r="B30" s="174" t="s">
        <v>1379</v>
      </c>
      <c r="C30" s="174" t="s">
        <v>1531</v>
      </c>
      <c r="D30" s="175">
        <v>1</v>
      </c>
      <c r="E30" s="175">
        <v>184</v>
      </c>
      <c r="F30" s="175">
        <v>1690</v>
      </c>
      <c r="G30" s="176">
        <f t="shared" si="0"/>
        <v>17.094159360000003</v>
      </c>
      <c r="H30" s="176">
        <f t="shared" si="1"/>
        <v>47.855471430000001</v>
      </c>
      <c r="I30" s="177" t="s">
        <v>1492</v>
      </c>
      <c r="J30" s="178"/>
    </row>
    <row r="31" spans="1:10" ht="14.9" customHeight="1">
      <c r="A31" s="173">
        <v>1.1339999999999999</v>
      </c>
      <c r="B31" s="174" t="s">
        <v>1532</v>
      </c>
      <c r="C31" s="174" t="s">
        <v>1533</v>
      </c>
      <c r="D31" s="175">
        <v>2</v>
      </c>
      <c r="E31" s="175">
        <v>376</v>
      </c>
      <c r="F31" s="175">
        <v>3924</v>
      </c>
      <c r="G31" s="176">
        <f t="shared" si="0"/>
        <v>34.931543040000001</v>
      </c>
      <c r="H31" s="176">
        <f t="shared" si="1"/>
        <v>111.115307628</v>
      </c>
      <c r="I31" s="177" t="s">
        <v>1492</v>
      </c>
      <c r="J31" s="178"/>
    </row>
    <row r="32" spans="1:10" ht="14.9" customHeight="1">
      <c r="A32" s="173">
        <v>1.1339999999999999</v>
      </c>
      <c r="B32" s="174" t="s">
        <v>1382</v>
      </c>
      <c r="C32" s="174" t="s">
        <v>1534</v>
      </c>
      <c r="D32" s="175">
        <v>2</v>
      </c>
      <c r="E32" s="175">
        <v>1131</v>
      </c>
      <c r="F32" s="175">
        <v>10951</v>
      </c>
      <c r="G32" s="176">
        <f t="shared" si="0"/>
        <v>105.07333824000001</v>
      </c>
      <c r="H32" s="176">
        <f t="shared" si="1"/>
        <v>310.097791497</v>
      </c>
      <c r="I32" s="177" t="s">
        <v>1492</v>
      </c>
      <c r="J32" s="178"/>
    </row>
    <row r="33" spans="1:10" ht="14.9" customHeight="1">
      <c r="A33" s="173">
        <v>1.141</v>
      </c>
      <c r="B33" s="174" t="s">
        <v>1372</v>
      </c>
      <c r="C33" s="174" t="s">
        <v>1535</v>
      </c>
      <c r="D33" s="183" t="s">
        <v>1507</v>
      </c>
      <c r="E33" s="182">
        <v>445</v>
      </c>
      <c r="F33" s="182">
        <v>3778</v>
      </c>
      <c r="G33" s="176">
        <f t="shared" si="0"/>
        <v>41.341852800000005</v>
      </c>
      <c r="H33" s="176">
        <f t="shared" si="1"/>
        <v>106.98104796599999</v>
      </c>
      <c r="I33" s="177" t="s">
        <v>1492</v>
      </c>
      <c r="J33" s="178"/>
    </row>
    <row r="34" spans="1:10" ht="14.9" customHeight="1">
      <c r="A34" s="173">
        <v>1.1419999999999999</v>
      </c>
      <c r="B34" s="174" t="s">
        <v>1369</v>
      </c>
      <c r="C34" s="174" t="s">
        <v>1536</v>
      </c>
      <c r="D34" s="175">
        <v>2</v>
      </c>
      <c r="E34" s="175">
        <v>199</v>
      </c>
      <c r="F34" s="175">
        <v>2317</v>
      </c>
      <c r="G34" s="176">
        <f t="shared" si="0"/>
        <v>18.487704960000002</v>
      </c>
      <c r="H34" s="176">
        <f t="shared" si="1"/>
        <v>65.610134498999997</v>
      </c>
      <c r="I34" s="177" t="s">
        <v>1492</v>
      </c>
      <c r="J34" s="178"/>
    </row>
    <row r="35" spans="1:10" ht="14.9" customHeight="1">
      <c r="A35" s="173">
        <v>1.1499999999999999</v>
      </c>
      <c r="B35" s="174" t="s">
        <v>1356</v>
      </c>
      <c r="C35" s="174" t="s">
        <v>1537</v>
      </c>
      <c r="D35" s="175">
        <v>3</v>
      </c>
      <c r="E35" s="175">
        <v>425</v>
      </c>
      <c r="F35" s="175">
        <v>3776</v>
      </c>
      <c r="G35" s="176">
        <f t="shared" si="0"/>
        <v>39.483792000000001</v>
      </c>
      <c r="H35" s="176">
        <f t="shared" si="1"/>
        <v>106.92441427199999</v>
      </c>
      <c r="I35" s="177" t="s">
        <v>1492</v>
      </c>
      <c r="J35" s="178"/>
    </row>
    <row r="36" spans="1:10" ht="14.9" customHeight="1">
      <c r="A36" s="173">
        <v>1.1499999999999999</v>
      </c>
      <c r="B36" s="174" t="s">
        <v>1538</v>
      </c>
      <c r="C36" s="174" t="s">
        <v>1539</v>
      </c>
      <c r="D36" s="175">
        <v>4</v>
      </c>
      <c r="E36" s="175">
        <v>366</v>
      </c>
      <c r="F36" s="175">
        <v>3886</v>
      </c>
      <c r="G36" s="176">
        <f t="shared" si="0"/>
        <v>34.002512639999999</v>
      </c>
      <c r="H36" s="176">
        <f t="shared" si="1"/>
        <v>110.039267442</v>
      </c>
      <c r="I36" s="177" t="s">
        <v>1492</v>
      </c>
      <c r="J36" s="178"/>
    </row>
    <row r="37" spans="1:10" ht="14.9" customHeight="1">
      <c r="A37" s="173">
        <v>1.2</v>
      </c>
      <c r="B37" s="174" t="s">
        <v>794</v>
      </c>
      <c r="C37" s="174" t="s">
        <v>1540</v>
      </c>
      <c r="D37" s="183" t="s">
        <v>1507</v>
      </c>
      <c r="E37" s="182">
        <v>64</v>
      </c>
      <c r="F37" s="182">
        <v>361</v>
      </c>
      <c r="G37" s="176">
        <f t="shared" si="0"/>
        <v>5.9457945600000004</v>
      </c>
      <c r="H37" s="176">
        <f t="shared" si="1"/>
        <v>10.222381767</v>
      </c>
      <c r="I37" s="177" t="s">
        <v>1503</v>
      </c>
      <c r="J37" s="178" t="s">
        <v>1504</v>
      </c>
    </row>
    <row r="38" spans="1:10" ht="14.9" customHeight="1">
      <c r="A38" s="173">
        <v>1.2110000000000001</v>
      </c>
      <c r="B38" s="180" t="s">
        <v>1310</v>
      </c>
      <c r="C38" s="180" t="s">
        <v>1541</v>
      </c>
      <c r="D38" s="181" t="s">
        <v>1498</v>
      </c>
      <c r="E38" s="182">
        <v>293</v>
      </c>
      <c r="F38" s="182">
        <v>1819</v>
      </c>
      <c r="G38" s="176">
        <f t="shared" si="0"/>
        <v>27.220590720000001</v>
      </c>
      <c r="H38" s="176">
        <f t="shared" si="1"/>
        <v>51.508344692999998</v>
      </c>
      <c r="I38" s="177" t="s">
        <v>1503</v>
      </c>
      <c r="J38" s="178" t="s">
        <v>1542</v>
      </c>
    </row>
    <row r="39" spans="1:10" ht="14.9" customHeight="1">
      <c r="A39" s="173">
        <v>1.2110000000000001</v>
      </c>
      <c r="B39" s="174" t="s">
        <v>1336</v>
      </c>
      <c r="C39" s="180" t="s">
        <v>1543</v>
      </c>
      <c r="D39" s="181" t="s">
        <v>1544</v>
      </c>
      <c r="E39" s="182">
        <v>254</v>
      </c>
      <c r="F39" s="182">
        <v>1483</v>
      </c>
      <c r="G39" s="176">
        <f t="shared" si="0"/>
        <v>23.597372160000003</v>
      </c>
      <c r="H39" s="176">
        <f t="shared" si="1"/>
        <v>41.993884100999999</v>
      </c>
      <c r="I39" s="177" t="s">
        <v>1503</v>
      </c>
      <c r="J39" s="178" t="s">
        <v>1542</v>
      </c>
    </row>
    <row r="40" spans="1:10" ht="14.9" customHeight="1">
      <c r="A40" s="179">
        <v>1.2130000000000001</v>
      </c>
      <c r="B40" s="180" t="s">
        <v>1333</v>
      </c>
      <c r="C40" s="180" t="s">
        <v>1545</v>
      </c>
      <c r="D40" s="181" t="s">
        <v>1498</v>
      </c>
      <c r="E40" s="182">
        <v>11</v>
      </c>
      <c r="F40" s="182">
        <v>60</v>
      </c>
      <c r="G40" s="176">
        <f t="shared" si="0"/>
        <v>1.02193344</v>
      </c>
      <c r="H40" s="176">
        <f t="shared" si="1"/>
        <v>1.69901082</v>
      </c>
      <c r="I40" s="177" t="s">
        <v>1492</v>
      </c>
      <c r="J40" s="178"/>
    </row>
    <row r="41" spans="1:10" ht="14.9" customHeight="1">
      <c r="A41" s="173">
        <v>1.2130000000000001</v>
      </c>
      <c r="B41" s="174" t="s">
        <v>1546</v>
      </c>
      <c r="C41" s="180" t="s">
        <v>1545</v>
      </c>
      <c r="D41" s="181" t="s">
        <v>1544</v>
      </c>
      <c r="E41" s="182">
        <v>11</v>
      </c>
      <c r="F41" s="182">
        <v>57</v>
      </c>
      <c r="G41" s="176">
        <f t="shared" si="0"/>
        <v>1.02193344</v>
      </c>
      <c r="H41" s="176">
        <f t="shared" si="1"/>
        <v>1.614060279</v>
      </c>
      <c r="I41" s="177" t="s">
        <v>1492</v>
      </c>
      <c r="J41" s="178"/>
    </row>
    <row r="42" spans="1:10" ht="14.9" customHeight="1">
      <c r="A42" s="173">
        <v>1.2130000000000001</v>
      </c>
      <c r="B42" s="174" t="s">
        <v>1547</v>
      </c>
      <c r="C42" s="174" t="s">
        <v>1548</v>
      </c>
      <c r="D42" s="175">
        <v>4</v>
      </c>
      <c r="E42" s="175">
        <v>33</v>
      </c>
      <c r="F42" s="175">
        <v>1022</v>
      </c>
      <c r="G42" s="176">
        <f t="shared" si="0"/>
        <v>3.0658003200000001</v>
      </c>
      <c r="H42" s="176">
        <f t="shared" si="1"/>
        <v>28.939817634000001</v>
      </c>
      <c r="I42" s="177" t="s">
        <v>1492</v>
      </c>
      <c r="J42" s="178"/>
    </row>
    <row r="43" spans="1:10" ht="14.9" customHeight="1">
      <c r="A43" s="173">
        <v>1.214</v>
      </c>
      <c r="B43" s="174" t="s">
        <v>1331</v>
      </c>
      <c r="C43" s="180" t="s">
        <v>1549</v>
      </c>
      <c r="D43" s="181" t="s">
        <v>1544</v>
      </c>
      <c r="E43" s="182">
        <v>132</v>
      </c>
      <c r="F43" s="182">
        <v>990</v>
      </c>
      <c r="G43" s="176">
        <f t="shared" si="0"/>
        <v>12.263201280000001</v>
      </c>
      <c r="H43" s="176">
        <f t="shared" si="1"/>
        <v>28.03367853</v>
      </c>
      <c r="I43" s="177" t="s">
        <v>1503</v>
      </c>
      <c r="J43" s="178" t="s">
        <v>1550</v>
      </c>
    </row>
    <row r="44" spans="1:10" ht="14.9" customHeight="1">
      <c r="A44" s="173">
        <v>1.214</v>
      </c>
      <c r="B44" s="174" t="s">
        <v>1328</v>
      </c>
      <c r="C44" s="174" t="s">
        <v>1551</v>
      </c>
      <c r="D44" s="183" t="s">
        <v>1507</v>
      </c>
      <c r="E44" s="182">
        <v>144</v>
      </c>
      <c r="F44" s="182">
        <v>1400</v>
      </c>
      <c r="G44" s="176">
        <f t="shared" si="0"/>
        <v>13.378037760000002</v>
      </c>
      <c r="H44" s="176">
        <f t="shared" si="1"/>
        <v>39.643585799999997</v>
      </c>
      <c r="I44" s="177" t="s">
        <v>1552</v>
      </c>
      <c r="J44" s="178" t="s">
        <v>1553</v>
      </c>
    </row>
    <row r="45" spans="1:10" ht="14.9" customHeight="1">
      <c r="A45" s="173">
        <v>1.214</v>
      </c>
      <c r="B45" s="174" t="s">
        <v>1554</v>
      </c>
      <c r="C45" s="174" t="s">
        <v>1555</v>
      </c>
      <c r="D45" s="175">
        <v>1</v>
      </c>
      <c r="E45" s="175">
        <v>270</v>
      </c>
      <c r="F45" s="175">
        <v>2548</v>
      </c>
      <c r="G45" s="176">
        <f t="shared" si="0"/>
        <v>25.083820800000002</v>
      </c>
      <c r="H45" s="176">
        <f t="shared" si="1"/>
        <v>72.151326155999996</v>
      </c>
      <c r="I45" s="177" t="s">
        <v>1556</v>
      </c>
      <c r="J45" s="178" t="s">
        <v>1557</v>
      </c>
    </row>
    <row r="46" spans="1:10" ht="14.9" customHeight="1">
      <c r="A46" s="173">
        <v>1.214</v>
      </c>
      <c r="B46" s="174" t="s">
        <v>1558</v>
      </c>
      <c r="C46" s="174" t="s">
        <v>1559</v>
      </c>
      <c r="D46" s="175">
        <v>3</v>
      </c>
      <c r="E46" s="175">
        <v>413</v>
      </c>
      <c r="F46" s="175">
        <v>4171</v>
      </c>
      <c r="G46" s="176">
        <f t="shared" si="0"/>
        <v>38.36895552</v>
      </c>
      <c r="H46" s="176">
        <f t="shared" si="1"/>
        <v>118.109568837</v>
      </c>
      <c r="I46" s="177" t="s">
        <v>1492</v>
      </c>
      <c r="J46" s="178" t="s">
        <v>1557</v>
      </c>
    </row>
    <row r="47" spans="1:10" ht="14.9" customHeight="1">
      <c r="A47" s="173">
        <v>1.214</v>
      </c>
      <c r="B47" s="174" t="s">
        <v>1560</v>
      </c>
      <c r="C47" s="174" t="s">
        <v>1561</v>
      </c>
      <c r="D47" s="175">
        <v>3</v>
      </c>
      <c r="E47" s="175">
        <v>16</v>
      </c>
      <c r="F47" s="175">
        <v>190</v>
      </c>
      <c r="G47" s="176">
        <f t="shared" si="0"/>
        <v>1.4864486400000001</v>
      </c>
      <c r="H47" s="176">
        <f t="shared" si="1"/>
        <v>5.38020093</v>
      </c>
      <c r="I47" s="177" t="s">
        <v>1492</v>
      </c>
      <c r="J47" s="178"/>
    </row>
    <row r="48" spans="1:10" ht="14.9" customHeight="1">
      <c r="A48" s="173">
        <v>1.214</v>
      </c>
      <c r="B48" s="174" t="s">
        <v>1562</v>
      </c>
      <c r="C48" s="174" t="s">
        <v>1563</v>
      </c>
      <c r="D48" s="175">
        <v>3</v>
      </c>
      <c r="E48" s="175">
        <v>156</v>
      </c>
      <c r="F48" s="175">
        <v>1655</v>
      </c>
      <c r="G48" s="176">
        <f t="shared" si="0"/>
        <v>14.492874240000001</v>
      </c>
      <c r="H48" s="176">
        <f t="shared" si="1"/>
        <v>46.864381784999999</v>
      </c>
      <c r="I48" s="177" t="s">
        <v>1552</v>
      </c>
      <c r="J48" s="178" t="s">
        <v>1557</v>
      </c>
    </row>
    <row r="49" spans="1:10" ht="14.9" customHeight="1">
      <c r="A49" s="173">
        <v>1.214</v>
      </c>
      <c r="B49" s="174" t="s">
        <v>1564</v>
      </c>
      <c r="C49" s="174" t="s">
        <v>1565</v>
      </c>
      <c r="D49" s="175">
        <v>3</v>
      </c>
      <c r="E49" s="175">
        <v>110</v>
      </c>
      <c r="F49" s="175">
        <v>1379</v>
      </c>
      <c r="G49" s="176">
        <f t="shared" si="0"/>
        <v>10.219334400000001</v>
      </c>
      <c r="H49" s="176">
        <f t="shared" si="1"/>
        <v>39.048932012999998</v>
      </c>
      <c r="I49" s="177" t="s">
        <v>1552</v>
      </c>
      <c r="J49" s="178" t="s">
        <v>1557</v>
      </c>
    </row>
    <row r="50" spans="1:10" ht="14.9" customHeight="1">
      <c r="A50" s="173">
        <v>1.216</v>
      </c>
      <c r="B50" s="174" t="s">
        <v>1319</v>
      </c>
      <c r="C50" s="180" t="s">
        <v>1566</v>
      </c>
      <c r="D50" s="181" t="s">
        <v>1544</v>
      </c>
      <c r="E50" s="182">
        <v>199</v>
      </c>
      <c r="F50" s="182">
        <v>1536</v>
      </c>
      <c r="G50" s="176">
        <f t="shared" si="0"/>
        <v>18.487704960000002</v>
      </c>
      <c r="H50" s="176">
        <f t="shared" si="1"/>
        <v>43.494676991999995</v>
      </c>
      <c r="I50" s="177" t="s">
        <v>1503</v>
      </c>
      <c r="J50" s="178" t="s">
        <v>1550</v>
      </c>
    </row>
    <row r="51" spans="1:10" ht="14.9" customHeight="1">
      <c r="A51" s="173">
        <v>1.216</v>
      </c>
      <c r="B51" s="174" t="s">
        <v>1321</v>
      </c>
      <c r="C51" s="174" t="s">
        <v>1567</v>
      </c>
      <c r="D51" s="183" t="s">
        <v>1507</v>
      </c>
      <c r="E51" s="182">
        <v>203</v>
      </c>
      <c r="F51" s="182">
        <v>2132</v>
      </c>
      <c r="G51" s="176">
        <f t="shared" si="0"/>
        <v>18.85931712</v>
      </c>
      <c r="H51" s="176">
        <f t="shared" si="1"/>
        <v>60.371517804</v>
      </c>
      <c r="I51" s="177" t="s">
        <v>1503</v>
      </c>
      <c r="J51" s="178" t="s">
        <v>1550</v>
      </c>
    </row>
    <row r="52" spans="1:10" ht="14.9" customHeight="1">
      <c r="A52" s="173">
        <v>1.22</v>
      </c>
      <c r="B52" s="174" t="s">
        <v>1307</v>
      </c>
      <c r="C52" s="174" t="s">
        <v>1568</v>
      </c>
      <c r="D52" s="175">
        <v>2</v>
      </c>
      <c r="E52" s="175">
        <v>720</v>
      </c>
      <c r="F52" s="175">
        <v>6739</v>
      </c>
      <c r="G52" s="176">
        <f t="shared" si="0"/>
        <v>66.890188800000004</v>
      </c>
      <c r="H52" s="176">
        <f t="shared" si="1"/>
        <v>190.82723193300001</v>
      </c>
      <c r="I52" s="177" t="s">
        <v>1492</v>
      </c>
      <c r="J52" s="178"/>
    </row>
    <row r="53" spans="1:10" ht="14.9" customHeight="1">
      <c r="A53" s="173">
        <v>1.22</v>
      </c>
      <c r="B53" s="174" t="s">
        <v>1569</v>
      </c>
      <c r="C53" s="174" t="s">
        <v>1570</v>
      </c>
      <c r="D53" s="175">
        <v>2</v>
      </c>
      <c r="E53" s="175">
        <v>428</v>
      </c>
      <c r="F53" s="175">
        <v>11436</v>
      </c>
      <c r="G53" s="176">
        <f t="shared" si="0"/>
        <v>39.762501120000003</v>
      </c>
      <c r="H53" s="176">
        <f t="shared" si="1"/>
        <v>323.83146229199997</v>
      </c>
      <c r="I53" s="177" t="s">
        <v>1492</v>
      </c>
      <c r="J53" s="178"/>
    </row>
    <row r="54" spans="1:10" ht="14.9" customHeight="1">
      <c r="A54" s="173">
        <v>1.2210000000000001</v>
      </c>
      <c r="B54" s="174" t="s">
        <v>1571</v>
      </c>
      <c r="C54" s="174" t="s">
        <v>1572</v>
      </c>
      <c r="D54" s="175">
        <v>2</v>
      </c>
      <c r="E54" s="175">
        <v>303</v>
      </c>
      <c r="F54" s="175">
        <v>2575</v>
      </c>
      <c r="G54" s="176">
        <f t="shared" si="0"/>
        <v>28.149621120000003</v>
      </c>
      <c r="H54" s="176">
        <f t="shared" si="1"/>
        <v>72.915881025000004</v>
      </c>
      <c r="I54" s="177" t="s">
        <v>1492</v>
      </c>
      <c r="J54" s="178"/>
    </row>
    <row r="55" spans="1:10" ht="14.9" customHeight="1">
      <c r="A55" s="179">
        <v>1.222</v>
      </c>
      <c r="B55" s="180" t="s">
        <v>1304</v>
      </c>
      <c r="C55" s="180" t="s">
        <v>1573</v>
      </c>
      <c r="D55" s="181" t="s">
        <v>1496</v>
      </c>
      <c r="E55" s="182">
        <v>377</v>
      </c>
      <c r="F55" s="182">
        <v>2114</v>
      </c>
      <c r="G55" s="176">
        <f t="shared" si="0"/>
        <v>35.024446080000004</v>
      </c>
      <c r="H55" s="176">
        <f t="shared" si="1"/>
        <v>59.861814557999999</v>
      </c>
      <c r="I55" s="177" t="s">
        <v>1492</v>
      </c>
      <c r="J55" s="178"/>
    </row>
    <row r="56" spans="1:10" ht="14.9" customHeight="1">
      <c r="A56" s="179">
        <v>1.222</v>
      </c>
      <c r="B56" s="180" t="s">
        <v>1302</v>
      </c>
      <c r="C56" s="180" t="s">
        <v>1574</v>
      </c>
      <c r="D56" s="181" t="s">
        <v>1494</v>
      </c>
      <c r="E56" s="182">
        <v>181</v>
      </c>
      <c r="F56" s="182">
        <v>1258</v>
      </c>
      <c r="G56" s="176">
        <f t="shared" si="0"/>
        <v>16.815450240000001</v>
      </c>
      <c r="H56" s="176">
        <f t="shared" si="1"/>
        <v>35.622593525999996</v>
      </c>
      <c r="I56" s="177" t="s">
        <v>1492</v>
      </c>
      <c r="J56" s="178"/>
    </row>
    <row r="57" spans="1:10" ht="14.9" customHeight="1">
      <c r="A57" s="179">
        <v>1.222</v>
      </c>
      <c r="B57" s="180" t="s">
        <v>1300</v>
      </c>
      <c r="C57" s="180" t="s">
        <v>1575</v>
      </c>
      <c r="D57" s="181" t="s">
        <v>1498</v>
      </c>
      <c r="E57" s="182">
        <v>228</v>
      </c>
      <c r="F57" s="182">
        <v>1542</v>
      </c>
      <c r="G57" s="176">
        <f t="shared" si="0"/>
        <v>21.181893120000002</v>
      </c>
      <c r="H57" s="176">
        <f t="shared" si="1"/>
        <v>43.664578073999998</v>
      </c>
      <c r="I57" s="177" t="s">
        <v>1492</v>
      </c>
      <c r="J57" s="178"/>
    </row>
    <row r="58" spans="1:10" ht="14.9" customHeight="1">
      <c r="A58" s="173">
        <v>1.2270000000000001</v>
      </c>
      <c r="B58" s="174" t="s">
        <v>1295</v>
      </c>
      <c r="C58" s="174" t="s">
        <v>1576</v>
      </c>
      <c r="D58" s="175">
        <v>1</v>
      </c>
      <c r="E58" s="175">
        <v>29</v>
      </c>
      <c r="F58" s="175">
        <v>323</v>
      </c>
      <c r="G58" s="176">
        <f t="shared" si="0"/>
        <v>2.6941881600000004</v>
      </c>
      <c r="H58" s="176">
        <f t="shared" si="1"/>
        <v>9.1463415809999997</v>
      </c>
      <c r="I58" s="184" t="s">
        <v>1492</v>
      </c>
      <c r="J58" s="185"/>
    </row>
    <row r="59" spans="1:10" ht="14.9" customHeight="1">
      <c r="A59" s="173">
        <v>1.2370000000000001</v>
      </c>
      <c r="B59" s="174" t="s">
        <v>1297</v>
      </c>
      <c r="C59" s="174" t="s">
        <v>1576</v>
      </c>
      <c r="D59" s="183" t="s">
        <v>1507</v>
      </c>
      <c r="E59" s="182">
        <v>46</v>
      </c>
      <c r="F59" s="182">
        <v>445</v>
      </c>
      <c r="G59" s="176">
        <f t="shared" si="0"/>
        <v>4.2735398400000006</v>
      </c>
      <c r="H59" s="176">
        <f t="shared" si="1"/>
        <v>12.600996915</v>
      </c>
      <c r="I59" s="177" t="s">
        <v>1492</v>
      </c>
      <c r="J59" s="178"/>
    </row>
    <row r="60" spans="1:10" ht="14.9" customHeight="1">
      <c r="A60" s="173">
        <v>1.28</v>
      </c>
      <c r="B60" s="174" t="s">
        <v>1289</v>
      </c>
      <c r="C60" s="174" t="s">
        <v>1577</v>
      </c>
      <c r="D60" s="183" t="s">
        <v>1507</v>
      </c>
      <c r="E60" s="182">
        <v>100</v>
      </c>
      <c r="F60" s="182">
        <v>981</v>
      </c>
      <c r="G60" s="176">
        <f t="shared" si="0"/>
        <v>9.2903040000000008</v>
      </c>
      <c r="H60" s="176">
        <f t="shared" si="1"/>
        <v>27.778826906999999</v>
      </c>
      <c r="I60" s="177" t="s">
        <v>1492</v>
      </c>
      <c r="J60" s="178"/>
    </row>
    <row r="61" spans="1:10" ht="14.9" customHeight="1">
      <c r="A61" s="173">
        <v>1.28</v>
      </c>
      <c r="B61" s="174" t="s">
        <v>1578</v>
      </c>
      <c r="C61" s="174" t="s">
        <v>1579</v>
      </c>
      <c r="D61" s="175">
        <v>1</v>
      </c>
      <c r="E61" s="175">
        <v>58</v>
      </c>
      <c r="F61" s="175">
        <v>649</v>
      </c>
      <c r="G61" s="176">
        <f t="shared" si="0"/>
        <v>5.3883763200000008</v>
      </c>
      <c r="H61" s="176">
        <f t="shared" si="1"/>
        <v>18.377633703000001</v>
      </c>
      <c r="I61" s="184" t="s">
        <v>1492</v>
      </c>
      <c r="J61" s="185"/>
    </row>
    <row r="62" spans="1:10" ht="14.9" customHeight="1">
      <c r="A62" s="173">
        <v>1.3120000000000001</v>
      </c>
      <c r="B62" s="174" t="s">
        <v>1282</v>
      </c>
      <c r="C62" s="174" t="s">
        <v>1580</v>
      </c>
      <c r="D62" s="175">
        <v>2</v>
      </c>
      <c r="E62" s="175">
        <v>425</v>
      </c>
      <c r="F62" s="175">
        <v>3795</v>
      </c>
      <c r="G62" s="176">
        <f t="shared" si="0"/>
        <v>39.483792000000001</v>
      </c>
      <c r="H62" s="176">
        <f t="shared" si="1"/>
        <v>107.46243436499999</v>
      </c>
      <c r="I62" s="177" t="s">
        <v>1492</v>
      </c>
      <c r="J62" s="178"/>
    </row>
    <row r="63" spans="1:10" ht="14.9" customHeight="1">
      <c r="A63" s="173">
        <v>1.3120000000000001</v>
      </c>
      <c r="B63" s="174" t="s">
        <v>1285</v>
      </c>
      <c r="C63" s="174" t="s">
        <v>1581</v>
      </c>
      <c r="D63" s="175">
        <v>2</v>
      </c>
      <c r="E63" s="175">
        <v>53</v>
      </c>
      <c r="F63" s="175">
        <v>586</v>
      </c>
      <c r="G63" s="176">
        <f t="shared" si="0"/>
        <v>4.9238611200000006</v>
      </c>
      <c r="H63" s="176">
        <f t="shared" si="1"/>
        <v>16.593672341999998</v>
      </c>
      <c r="I63" s="177" t="s">
        <v>1492</v>
      </c>
      <c r="J63" s="178"/>
    </row>
    <row r="64" spans="1:10" ht="14.9" customHeight="1">
      <c r="A64" s="179">
        <v>1.321</v>
      </c>
      <c r="B64" s="180" t="s">
        <v>1274</v>
      </c>
      <c r="C64" s="180" t="s">
        <v>104</v>
      </c>
      <c r="D64" s="183" t="s">
        <v>1507</v>
      </c>
      <c r="E64" s="182">
        <v>80</v>
      </c>
      <c r="F64" s="182">
        <v>733</v>
      </c>
      <c r="G64" s="176">
        <f t="shared" si="0"/>
        <v>7.4322432000000003</v>
      </c>
      <c r="H64" s="176">
        <f t="shared" si="1"/>
        <v>20.756248850999999</v>
      </c>
      <c r="I64" s="177" t="s">
        <v>1492</v>
      </c>
      <c r="J64" s="178"/>
    </row>
    <row r="65" spans="1:10" ht="14.9" customHeight="1">
      <c r="A65" s="173">
        <v>1.34</v>
      </c>
      <c r="B65" s="174" t="s">
        <v>1268</v>
      </c>
      <c r="C65" s="174" t="s">
        <v>1582</v>
      </c>
      <c r="D65" s="175">
        <v>1</v>
      </c>
      <c r="E65" s="175">
        <v>1131</v>
      </c>
      <c r="F65" s="175">
        <v>20339</v>
      </c>
      <c r="G65" s="176">
        <f>E65*0.09290304</f>
        <v>105.07333824000001</v>
      </c>
      <c r="H65" s="176">
        <f>F65*0.028316847</f>
        <v>575.93635113300002</v>
      </c>
      <c r="I65" s="177" t="s">
        <v>1503</v>
      </c>
      <c r="J65" s="178" t="s">
        <v>1583</v>
      </c>
    </row>
    <row r="66" spans="1:10" ht="14.9" customHeight="1">
      <c r="A66" s="173">
        <v>1.34</v>
      </c>
      <c r="B66" s="174" t="s">
        <v>1266</v>
      </c>
      <c r="C66" s="174" t="s">
        <v>1584</v>
      </c>
      <c r="D66" s="175">
        <v>1</v>
      </c>
      <c r="E66" s="175">
        <v>1197</v>
      </c>
      <c r="F66" s="175">
        <v>20283</v>
      </c>
      <c r="G66" s="176">
        <f t="shared" si="0"/>
        <v>111.20493888000001</v>
      </c>
      <c r="H66" s="176">
        <f t="shared" si="1"/>
        <v>574.35060770099994</v>
      </c>
      <c r="I66" s="177" t="s">
        <v>1503</v>
      </c>
      <c r="J66" s="178" t="s">
        <v>1583</v>
      </c>
    </row>
    <row r="67" spans="1:10" ht="14.9" customHeight="1">
      <c r="A67" s="179">
        <v>1.353</v>
      </c>
      <c r="B67" s="180" t="s">
        <v>1263</v>
      </c>
      <c r="C67" s="180" t="s">
        <v>1585</v>
      </c>
      <c r="D67" s="183" t="s">
        <v>1507</v>
      </c>
      <c r="E67" s="182">
        <v>75</v>
      </c>
      <c r="F67" s="182">
        <v>716</v>
      </c>
      <c r="G67" s="176">
        <f t="shared" si="0"/>
        <v>6.9677280000000001</v>
      </c>
      <c r="H67" s="176">
        <f t="shared" si="1"/>
        <v>20.274862452000001</v>
      </c>
      <c r="I67" s="177" t="s">
        <v>1492</v>
      </c>
      <c r="J67" s="178"/>
    </row>
    <row r="68" spans="1:10" ht="14.9" customHeight="1">
      <c r="A68" s="173">
        <v>1.36</v>
      </c>
      <c r="B68" s="174" t="s">
        <v>1260</v>
      </c>
      <c r="C68" s="174" t="s">
        <v>1586</v>
      </c>
      <c r="D68" s="175">
        <v>1</v>
      </c>
      <c r="E68" s="182">
        <v>200</v>
      </c>
      <c r="F68" s="182">
        <v>1858</v>
      </c>
      <c r="G68" s="176">
        <f t="shared" si="0"/>
        <v>18.580608000000002</v>
      </c>
      <c r="H68" s="176">
        <f t="shared" si="1"/>
        <v>52.612701725999997</v>
      </c>
      <c r="I68" s="177" t="s">
        <v>1492</v>
      </c>
      <c r="J68" s="178"/>
    </row>
    <row r="69" spans="1:10" ht="14.9" customHeight="1">
      <c r="A69" s="173">
        <v>1.3740000000000001</v>
      </c>
      <c r="B69" s="174" t="s">
        <v>1292</v>
      </c>
      <c r="C69" s="174" t="s">
        <v>1587</v>
      </c>
      <c r="D69" s="175">
        <v>1</v>
      </c>
      <c r="E69" s="175">
        <v>432</v>
      </c>
      <c r="F69" s="175">
        <v>3957</v>
      </c>
      <c r="G69" s="176">
        <f t="shared" ref="G69:G132" si="2">E69*0.09290304</f>
        <v>40.134113280000001</v>
      </c>
      <c r="H69" s="176">
        <f t="shared" ref="H69:H132" si="3">F69*0.028316847</f>
        <v>112.049763579</v>
      </c>
      <c r="I69" s="177" t="s">
        <v>1492</v>
      </c>
      <c r="J69" s="178"/>
    </row>
    <row r="70" spans="1:10" ht="14.9" customHeight="1">
      <c r="A70" s="173">
        <v>1.3740000000000001</v>
      </c>
      <c r="B70" s="174" t="s">
        <v>1326</v>
      </c>
      <c r="C70" s="174" t="s">
        <v>1588</v>
      </c>
      <c r="D70" s="175">
        <v>1</v>
      </c>
      <c r="E70" s="175">
        <v>68</v>
      </c>
      <c r="F70" s="175">
        <v>621</v>
      </c>
      <c r="G70" s="176">
        <f t="shared" si="2"/>
        <v>6.3174067200000001</v>
      </c>
      <c r="H70" s="176">
        <f t="shared" si="3"/>
        <v>17.584761987</v>
      </c>
      <c r="I70" s="177" t="s">
        <v>1492</v>
      </c>
      <c r="J70" s="178"/>
    </row>
    <row r="71" spans="1:10" ht="14.9" customHeight="1">
      <c r="A71" s="173">
        <v>1.3740000000000001</v>
      </c>
      <c r="B71" s="174" t="s">
        <v>1223</v>
      </c>
      <c r="C71" s="174" t="s">
        <v>1589</v>
      </c>
      <c r="D71" s="175">
        <v>1</v>
      </c>
      <c r="E71" s="175">
        <v>14</v>
      </c>
      <c r="F71" s="175">
        <v>126</v>
      </c>
      <c r="G71" s="176">
        <f t="shared" si="2"/>
        <v>1.30064256</v>
      </c>
      <c r="H71" s="176">
        <f t="shared" si="3"/>
        <v>3.567922722</v>
      </c>
      <c r="I71" s="177" t="s">
        <v>1492</v>
      </c>
      <c r="J71" s="178"/>
    </row>
    <row r="72" spans="1:10" ht="14.9" customHeight="1">
      <c r="A72" s="173">
        <v>1.3740000000000001</v>
      </c>
      <c r="B72" s="174" t="s">
        <v>1257</v>
      </c>
      <c r="C72" s="174" t="s">
        <v>1590</v>
      </c>
      <c r="D72" s="175">
        <v>2</v>
      </c>
      <c r="E72" s="175">
        <v>95</v>
      </c>
      <c r="F72" s="175">
        <v>977</v>
      </c>
      <c r="G72" s="176">
        <f t="shared" si="2"/>
        <v>8.8257887999999998</v>
      </c>
      <c r="H72" s="176">
        <f t="shared" si="3"/>
        <v>27.665559518999999</v>
      </c>
      <c r="I72" s="177" t="s">
        <v>1492</v>
      </c>
      <c r="J72" s="178"/>
    </row>
    <row r="73" spans="1:10" ht="14.9" customHeight="1">
      <c r="A73" s="173">
        <v>1.3740000000000001</v>
      </c>
      <c r="B73" s="174" t="s">
        <v>1324</v>
      </c>
      <c r="C73" s="174" t="s">
        <v>1591</v>
      </c>
      <c r="D73" s="175">
        <v>2</v>
      </c>
      <c r="E73" s="175">
        <v>103</v>
      </c>
      <c r="F73" s="175">
        <v>1179</v>
      </c>
      <c r="G73" s="176">
        <f t="shared" si="2"/>
        <v>9.569013120000001</v>
      </c>
      <c r="H73" s="176">
        <f t="shared" si="3"/>
        <v>33.385562612999998</v>
      </c>
      <c r="I73" s="177" t="s">
        <v>1492</v>
      </c>
      <c r="J73" s="178"/>
    </row>
    <row r="74" spans="1:10" ht="14.9" customHeight="1">
      <c r="A74" s="173">
        <v>1.3740000000000001</v>
      </c>
      <c r="B74" s="174" t="s">
        <v>1225</v>
      </c>
      <c r="C74" s="174" t="s">
        <v>1592</v>
      </c>
      <c r="D74" s="175">
        <v>3</v>
      </c>
      <c r="E74" s="175">
        <v>18</v>
      </c>
      <c r="F74" s="175">
        <v>155</v>
      </c>
      <c r="G74" s="176">
        <f t="shared" si="2"/>
        <v>1.6722547200000002</v>
      </c>
      <c r="H74" s="176">
        <f t="shared" si="3"/>
        <v>4.3891112850000003</v>
      </c>
      <c r="I74" s="177" t="s">
        <v>1492</v>
      </c>
      <c r="J74" s="178"/>
    </row>
    <row r="75" spans="1:10" ht="14.9" customHeight="1">
      <c r="A75" s="173">
        <v>1.381</v>
      </c>
      <c r="B75" s="174" t="s">
        <v>1254</v>
      </c>
      <c r="C75" s="174" t="s">
        <v>1593</v>
      </c>
      <c r="D75" s="175">
        <v>1</v>
      </c>
      <c r="E75" s="182">
        <v>93</v>
      </c>
      <c r="F75" s="182">
        <v>570</v>
      </c>
      <c r="G75" s="176">
        <f t="shared" si="2"/>
        <v>8.6399827200000008</v>
      </c>
      <c r="H75" s="176">
        <f t="shared" si="3"/>
        <v>16.140602789999999</v>
      </c>
      <c r="I75" s="177" t="s">
        <v>1503</v>
      </c>
      <c r="J75" s="178" t="s">
        <v>1583</v>
      </c>
    </row>
    <row r="76" spans="1:10" ht="14.9" customHeight="1">
      <c r="A76" s="173">
        <v>1.381</v>
      </c>
      <c r="B76" s="174" t="s">
        <v>1251</v>
      </c>
      <c r="C76" s="174" t="s">
        <v>1594</v>
      </c>
      <c r="D76" s="175">
        <v>4</v>
      </c>
      <c r="E76" s="175">
        <v>0</v>
      </c>
      <c r="F76" s="175">
        <v>37</v>
      </c>
      <c r="G76" s="176">
        <f t="shared" si="2"/>
        <v>0</v>
      </c>
      <c r="H76" s="176">
        <f t="shared" si="3"/>
        <v>1.047723339</v>
      </c>
      <c r="I76" s="177" t="s">
        <v>1492</v>
      </c>
      <c r="J76" s="178"/>
    </row>
    <row r="77" spans="1:10" ht="14.9" customHeight="1">
      <c r="A77" s="173">
        <v>1.381</v>
      </c>
      <c r="B77" s="174" t="s">
        <v>603</v>
      </c>
      <c r="C77" s="174" t="s">
        <v>1595</v>
      </c>
      <c r="D77" s="175">
        <v>4</v>
      </c>
      <c r="E77" s="175">
        <v>0</v>
      </c>
      <c r="F77" s="175">
        <v>236</v>
      </c>
      <c r="G77" s="176">
        <f t="shared" si="2"/>
        <v>0</v>
      </c>
      <c r="H77" s="176">
        <f t="shared" si="3"/>
        <v>6.6827758919999996</v>
      </c>
      <c r="I77" s="177" t="s">
        <v>1492</v>
      </c>
      <c r="J77" s="178"/>
    </row>
    <row r="78" spans="1:10" ht="14.9" customHeight="1">
      <c r="A78" s="173">
        <v>1.381</v>
      </c>
      <c r="B78" s="174" t="s">
        <v>602</v>
      </c>
      <c r="C78" s="174" t="s">
        <v>1595</v>
      </c>
      <c r="D78" s="175">
        <v>4</v>
      </c>
      <c r="E78" s="175">
        <v>0</v>
      </c>
      <c r="F78" s="175">
        <v>236</v>
      </c>
      <c r="G78" s="176">
        <f t="shared" si="2"/>
        <v>0</v>
      </c>
      <c r="H78" s="176">
        <f t="shared" si="3"/>
        <v>6.6827758919999996</v>
      </c>
      <c r="I78" s="177" t="s">
        <v>1492</v>
      </c>
      <c r="J78" s="178"/>
    </row>
    <row r="79" spans="1:10" ht="14.9" customHeight="1">
      <c r="A79" s="173">
        <v>1.381</v>
      </c>
      <c r="B79" s="174" t="s">
        <v>622</v>
      </c>
      <c r="C79" s="174" t="s">
        <v>1596</v>
      </c>
      <c r="D79" s="175">
        <v>4</v>
      </c>
      <c r="E79" s="175">
        <v>0</v>
      </c>
      <c r="F79" s="175">
        <v>1390</v>
      </c>
      <c r="G79" s="176">
        <f t="shared" si="2"/>
        <v>0</v>
      </c>
      <c r="H79" s="176">
        <f t="shared" si="3"/>
        <v>39.360417329999997</v>
      </c>
      <c r="I79" s="177" t="s">
        <v>1492</v>
      </c>
      <c r="J79" s="178"/>
    </row>
    <row r="80" spans="1:10" ht="14.9" customHeight="1">
      <c r="A80" s="173">
        <v>1.381</v>
      </c>
      <c r="B80" s="174" t="s">
        <v>621</v>
      </c>
      <c r="C80" s="174" t="s">
        <v>1596</v>
      </c>
      <c r="D80" s="175">
        <v>4</v>
      </c>
      <c r="E80" s="175">
        <v>0</v>
      </c>
      <c r="F80" s="175">
        <v>1172</v>
      </c>
      <c r="G80" s="176">
        <f t="shared" si="2"/>
        <v>0</v>
      </c>
      <c r="H80" s="176">
        <f t="shared" si="3"/>
        <v>33.187344683999996</v>
      </c>
      <c r="I80" s="177" t="s">
        <v>1492</v>
      </c>
      <c r="J80" s="178"/>
    </row>
    <row r="81" spans="1:10" ht="14.9" customHeight="1">
      <c r="A81" s="173">
        <v>1.381</v>
      </c>
      <c r="B81" s="174" t="s">
        <v>1248</v>
      </c>
      <c r="C81" s="174" t="s">
        <v>1597</v>
      </c>
      <c r="D81" s="175">
        <v>4</v>
      </c>
      <c r="E81" s="175">
        <v>0</v>
      </c>
      <c r="F81" s="175">
        <v>1425</v>
      </c>
      <c r="G81" s="176">
        <f t="shared" si="2"/>
        <v>0</v>
      </c>
      <c r="H81" s="176">
        <f t="shared" si="3"/>
        <v>40.351506974999999</v>
      </c>
      <c r="I81" s="177" t="s">
        <v>1492</v>
      </c>
      <c r="J81" s="178"/>
    </row>
    <row r="82" spans="1:10" ht="14.9" customHeight="1">
      <c r="A82" s="179">
        <v>1.391</v>
      </c>
      <c r="B82" s="180" t="s">
        <v>1243</v>
      </c>
      <c r="C82" s="180" t="s">
        <v>1598</v>
      </c>
      <c r="D82" s="183" t="s">
        <v>1507</v>
      </c>
      <c r="E82" s="182">
        <v>43</v>
      </c>
      <c r="F82" s="182">
        <v>380</v>
      </c>
      <c r="G82" s="176">
        <f t="shared" si="2"/>
        <v>3.9948307200000004</v>
      </c>
      <c r="H82" s="176">
        <f t="shared" si="3"/>
        <v>10.76040186</v>
      </c>
      <c r="I82" s="177" t="s">
        <v>1492</v>
      </c>
      <c r="J82" s="178" t="s">
        <v>1599</v>
      </c>
    </row>
    <row r="83" spans="1:10" ht="14.9" customHeight="1">
      <c r="A83" s="179">
        <v>1.391</v>
      </c>
      <c r="B83" s="180" t="s">
        <v>1241</v>
      </c>
      <c r="C83" s="180" t="s">
        <v>1600</v>
      </c>
      <c r="D83" s="183" t="s">
        <v>1507</v>
      </c>
      <c r="E83" s="182">
        <v>56</v>
      </c>
      <c r="F83" s="182">
        <v>496</v>
      </c>
      <c r="G83" s="176">
        <f t="shared" si="2"/>
        <v>5.20257024</v>
      </c>
      <c r="H83" s="176">
        <f t="shared" si="3"/>
        <v>14.045156111999999</v>
      </c>
      <c r="I83" s="177" t="s">
        <v>1492</v>
      </c>
      <c r="J83" s="178"/>
    </row>
    <row r="84" spans="1:10" ht="14.9" customHeight="1">
      <c r="A84" s="173">
        <v>1.391</v>
      </c>
      <c r="B84" s="174" t="s">
        <v>1245</v>
      </c>
      <c r="C84" s="174" t="s">
        <v>1601</v>
      </c>
      <c r="D84" s="175">
        <v>2</v>
      </c>
      <c r="E84" s="175">
        <v>208</v>
      </c>
      <c r="F84" s="175">
        <v>2087</v>
      </c>
      <c r="G84" s="176">
        <f t="shared" si="2"/>
        <v>19.323832320000001</v>
      </c>
      <c r="H84" s="176">
        <f t="shared" si="3"/>
        <v>59.097259688999998</v>
      </c>
      <c r="I84" s="177" t="s">
        <v>1492</v>
      </c>
      <c r="J84" s="178"/>
    </row>
    <row r="85" spans="1:10" ht="14.9" customHeight="1">
      <c r="A85" s="173">
        <v>1.3939999999999999</v>
      </c>
      <c r="B85" s="174" t="s">
        <v>1236</v>
      </c>
      <c r="C85" s="174" t="s">
        <v>1602</v>
      </c>
      <c r="D85" s="183" t="s">
        <v>1507</v>
      </c>
      <c r="E85" s="182">
        <v>56</v>
      </c>
      <c r="F85" s="182">
        <v>591</v>
      </c>
      <c r="G85" s="176">
        <f t="shared" si="2"/>
        <v>5.20257024</v>
      </c>
      <c r="H85" s="176">
        <f t="shared" si="3"/>
        <v>16.735256577000001</v>
      </c>
      <c r="I85" s="177" t="s">
        <v>1492</v>
      </c>
      <c r="J85" s="178"/>
    </row>
    <row r="86" spans="1:10" ht="14.9" customHeight="1">
      <c r="A86" s="173">
        <v>1.3959999999999999</v>
      </c>
      <c r="B86" s="174" t="s">
        <v>1279</v>
      </c>
      <c r="C86" s="174" t="s">
        <v>1603</v>
      </c>
      <c r="D86" s="175">
        <v>1</v>
      </c>
      <c r="E86" s="175">
        <v>51</v>
      </c>
      <c r="F86" s="175">
        <v>436</v>
      </c>
      <c r="G86" s="176">
        <f t="shared" si="2"/>
        <v>4.7380550399999999</v>
      </c>
      <c r="H86" s="176">
        <f t="shared" si="3"/>
        <v>12.346145291999999</v>
      </c>
      <c r="I86" s="177" t="s">
        <v>1503</v>
      </c>
      <c r="J86" s="178" t="s">
        <v>1583</v>
      </c>
    </row>
    <row r="87" spans="1:10" ht="14.9" customHeight="1">
      <c r="A87" s="173">
        <v>1.3959999999999999</v>
      </c>
      <c r="B87" s="174" t="s">
        <v>1277</v>
      </c>
      <c r="C87" s="174" t="s">
        <v>1604</v>
      </c>
      <c r="D87" s="175">
        <v>1</v>
      </c>
      <c r="E87" s="182">
        <v>50</v>
      </c>
      <c r="F87" s="182">
        <v>426</v>
      </c>
      <c r="G87" s="176">
        <f t="shared" si="2"/>
        <v>4.6451520000000004</v>
      </c>
      <c r="H87" s="176">
        <f t="shared" si="3"/>
        <v>12.062976822</v>
      </c>
      <c r="I87" s="177" t="s">
        <v>1492</v>
      </c>
      <c r="J87" s="178"/>
    </row>
    <row r="88" spans="1:10" ht="14.9" customHeight="1">
      <c r="A88" s="173">
        <v>1.91</v>
      </c>
      <c r="B88" s="174" t="s">
        <v>1228</v>
      </c>
      <c r="C88" s="174" t="s">
        <v>1605</v>
      </c>
      <c r="D88" s="175">
        <v>3</v>
      </c>
      <c r="E88" s="175">
        <v>54</v>
      </c>
      <c r="F88" s="175">
        <v>464</v>
      </c>
      <c r="G88" s="176">
        <f t="shared" si="2"/>
        <v>5.0167641600000001</v>
      </c>
      <c r="H88" s="176">
        <f t="shared" si="3"/>
        <v>13.139017008</v>
      </c>
      <c r="I88" s="177" t="s">
        <v>1492</v>
      </c>
      <c r="J88" s="178"/>
    </row>
    <row r="89" spans="1:10" ht="14.9" customHeight="1">
      <c r="A89" s="173">
        <v>1.94</v>
      </c>
      <c r="B89" s="174" t="s">
        <v>1220</v>
      </c>
      <c r="C89" s="174" t="s">
        <v>99</v>
      </c>
      <c r="D89" s="175">
        <v>2</v>
      </c>
      <c r="E89" s="175">
        <v>124</v>
      </c>
      <c r="F89" s="175">
        <v>1279</v>
      </c>
      <c r="G89" s="176">
        <f t="shared" si="2"/>
        <v>11.519976960000001</v>
      </c>
      <c r="H89" s="176">
        <f t="shared" si="3"/>
        <v>36.217247313000001</v>
      </c>
      <c r="I89" s="177" t="s">
        <v>1492</v>
      </c>
      <c r="J89" s="178"/>
    </row>
    <row r="90" spans="1:10" ht="14.9" customHeight="1">
      <c r="A90" s="173">
        <v>1.954</v>
      </c>
      <c r="B90" s="174" t="s">
        <v>1606</v>
      </c>
      <c r="C90" s="174" t="s">
        <v>1607</v>
      </c>
      <c r="D90" s="175">
        <v>1</v>
      </c>
      <c r="E90" s="175">
        <v>92</v>
      </c>
      <c r="F90" s="175">
        <v>1044</v>
      </c>
      <c r="G90" s="176">
        <f t="shared" si="2"/>
        <v>8.5470796800000013</v>
      </c>
      <c r="H90" s="176">
        <f t="shared" si="3"/>
        <v>29.562788267999998</v>
      </c>
      <c r="I90" s="177" t="s">
        <v>1492</v>
      </c>
      <c r="J90" s="178"/>
    </row>
    <row r="91" spans="1:10" ht="14.9" customHeight="1">
      <c r="A91" s="179">
        <v>2.1110000000000002</v>
      </c>
      <c r="B91" s="180" t="s">
        <v>1184</v>
      </c>
      <c r="C91" s="180" t="s">
        <v>1608</v>
      </c>
      <c r="D91" s="181" t="s">
        <v>1494</v>
      </c>
      <c r="E91" s="182">
        <v>46</v>
      </c>
      <c r="F91" s="182">
        <v>391</v>
      </c>
      <c r="G91" s="176">
        <f t="shared" si="2"/>
        <v>4.2735398400000006</v>
      </c>
      <c r="H91" s="176">
        <f t="shared" si="3"/>
        <v>11.071887176999999</v>
      </c>
      <c r="I91" s="177" t="s">
        <v>1492</v>
      </c>
      <c r="J91" s="178"/>
    </row>
    <row r="92" spans="1:10" ht="14.9" customHeight="1">
      <c r="A92" s="179">
        <v>2.1110000000000002</v>
      </c>
      <c r="B92" s="180" t="s">
        <v>1199</v>
      </c>
      <c r="C92" s="180" t="s">
        <v>1609</v>
      </c>
      <c r="D92" s="181" t="s">
        <v>1494</v>
      </c>
      <c r="E92" s="182">
        <v>140</v>
      </c>
      <c r="F92" s="182">
        <v>1190</v>
      </c>
      <c r="G92" s="176">
        <f t="shared" si="2"/>
        <v>13.0064256</v>
      </c>
      <c r="H92" s="176">
        <f t="shared" si="3"/>
        <v>33.697047929999997</v>
      </c>
      <c r="I92" s="177" t="s">
        <v>1492</v>
      </c>
      <c r="J92" s="178"/>
    </row>
    <row r="93" spans="1:10" ht="14.9" customHeight="1">
      <c r="A93" s="173">
        <v>2.1110000000000002</v>
      </c>
      <c r="B93" s="174" t="s">
        <v>1172</v>
      </c>
      <c r="C93" s="180" t="s">
        <v>1610</v>
      </c>
      <c r="D93" s="181" t="s">
        <v>1544</v>
      </c>
      <c r="E93" s="182">
        <v>112</v>
      </c>
      <c r="F93" s="182">
        <v>917</v>
      </c>
      <c r="G93" s="176">
        <f t="shared" si="2"/>
        <v>10.40514048</v>
      </c>
      <c r="H93" s="176">
        <f t="shared" si="3"/>
        <v>25.966548699000001</v>
      </c>
      <c r="I93" s="177" t="s">
        <v>1492</v>
      </c>
      <c r="J93" s="178"/>
    </row>
    <row r="94" spans="1:10" ht="14.9" customHeight="1">
      <c r="A94" s="173">
        <v>2.1110000000000002</v>
      </c>
      <c r="B94" s="174" t="s">
        <v>1170</v>
      </c>
      <c r="C94" s="180" t="s">
        <v>1610</v>
      </c>
      <c r="D94" s="181" t="s">
        <v>1544</v>
      </c>
      <c r="E94" s="182">
        <v>112</v>
      </c>
      <c r="F94" s="182">
        <v>917</v>
      </c>
      <c r="G94" s="176">
        <f t="shared" si="2"/>
        <v>10.40514048</v>
      </c>
      <c r="H94" s="176">
        <f t="shared" si="3"/>
        <v>25.966548699000001</v>
      </c>
      <c r="I94" s="177" t="s">
        <v>1492</v>
      </c>
      <c r="J94" s="178"/>
    </row>
    <row r="95" spans="1:10" ht="14.9" customHeight="1">
      <c r="A95" s="173">
        <v>2.1110000000000002</v>
      </c>
      <c r="B95" s="174" t="s">
        <v>1214</v>
      </c>
      <c r="C95" s="180" t="s">
        <v>1610</v>
      </c>
      <c r="D95" s="181" t="s">
        <v>1544</v>
      </c>
      <c r="E95" s="182">
        <v>115</v>
      </c>
      <c r="F95" s="182">
        <v>938</v>
      </c>
      <c r="G95" s="176">
        <f t="shared" si="2"/>
        <v>10.6838496</v>
      </c>
      <c r="H95" s="176">
        <f t="shared" si="3"/>
        <v>26.561202485999999</v>
      </c>
      <c r="I95" s="177" t="s">
        <v>1492</v>
      </c>
      <c r="J95" s="178"/>
    </row>
    <row r="96" spans="1:10" ht="14.9" customHeight="1">
      <c r="A96" s="173">
        <v>2.1110000000000002</v>
      </c>
      <c r="B96" s="174" t="s">
        <v>1213</v>
      </c>
      <c r="C96" s="180" t="s">
        <v>1610</v>
      </c>
      <c r="D96" s="181" t="s">
        <v>1544</v>
      </c>
      <c r="E96" s="182">
        <v>110</v>
      </c>
      <c r="F96" s="182">
        <v>901</v>
      </c>
      <c r="G96" s="176">
        <f t="shared" si="2"/>
        <v>10.219334400000001</v>
      </c>
      <c r="H96" s="176">
        <f t="shared" si="3"/>
        <v>25.513479146999998</v>
      </c>
      <c r="I96" s="177" t="s">
        <v>1492</v>
      </c>
      <c r="J96" s="178"/>
    </row>
    <row r="97" spans="1:10" ht="14.9" customHeight="1">
      <c r="A97" s="173">
        <v>2.1110000000000002</v>
      </c>
      <c r="B97" s="174" t="s">
        <v>1193</v>
      </c>
      <c r="C97" s="180" t="s">
        <v>178</v>
      </c>
      <c r="D97" s="181" t="s">
        <v>1544</v>
      </c>
      <c r="E97" s="182">
        <v>154</v>
      </c>
      <c r="F97" s="182">
        <v>1189</v>
      </c>
      <c r="G97" s="176">
        <f t="shared" si="2"/>
        <v>14.307068160000002</v>
      </c>
      <c r="H97" s="176">
        <f t="shared" si="3"/>
        <v>33.668731082999997</v>
      </c>
      <c r="I97" s="177" t="s">
        <v>1492</v>
      </c>
      <c r="J97" s="178"/>
    </row>
    <row r="98" spans="1:10" ht="14.9" customHeight="1">
      <c r="A98" s="173">
        <v>2.1110000000000002</v>
      </c>
      <c r="B98" s="174" t="s">
        <v>1212</v>
      </c>
      <c r="C98" s="180" t="s">
        <v>1610</v>
      </c>
      <c r="D98" s="181" t="s">
        <v>1544</v>
      </c>
      <c r="E98" s="182">
        <v>115</v>
      </c>
      <c r="F98" s="182">
        <v>938</v>
      </c>
      <c r="G98" s="176">
        <f t="shared" si="2"/>
        <v>10.6838496</v>
      </c>
      <c r="H98" s="176">
        <f t="shared" si="3"/>
        <v>26.561202485999999</v>
      </c>
      <c r="I98" s="177" t="s">
        <v>1492</v>
      </c>
      <c r="J98" s="178"/>
    </row>
    <row r="99" spans="1:10" ht="14.9" customHeight="1">
      <c r="A99" s="173">
        <v>2.1110000000000002</v>
      </c>
      <c r="B99" s="174" t="s">
        <v>1211</v>
      </c>
      <c r="C99" s="180" t="s">
        <v>1610</v>
      </c>
      <c r="D99" s="181" t="s">
        <v>1544</v>
      </c>
      <c r="E99" s="182">
        <v>110</v>
      </c>
      <c r="F99" s="182">
        <v>901</v>
      </c>
      <c r="G99" s="176">
        <f t="shared" si="2"/>
        <v>10.219334400000001</v>
      </c>
      <c r="H99" s="176">
        <f t="shared" si="3"/>
        <v>25.513479146999998</v>
      </c>
      <c r="I99" s="177" t="s">
        <v>1492</v>
      </c>
      <c r="J99" s="178"/>
    </row>
    <row r="100" spans="1:10" ht="14.9" customHeight="1">
      <c r="A100" s="173">
        <v>2.1110000000000002</v>
      </c>
      <c r="B100" s="174" t="s">
        <v>1196</v>
      </c>
      <c r="C100" s="180" t="s">
        <v>177</v>
      </c>
      <c r="D100" s="181" t="s">
        <v>1544</v>
      </c>
      <c r="E100" s="182">
        <v>192</v>
      </c>
      <c r="F100" s="182">
        <v>1495</v>
      </c>
      <c r="G100" s="176">
        <f t="shared" si="2"/>
        <v>17.837383680000002</v>
      </c>
      <c r="H100" s="176">
        <f t="shared" si="3"/>
        <v>42.333686264999997</v>
      </c>
      <c r="I100" s="177" t="s">
        <v>1492</v>
      </c>
      <c r="J100" s="178"/>
    </row>
    <row r="101" spans="1:10" ht="14.9" customHeight="1">
      <c r="A101" s="173">
        <v>2.1110000000000002</v>
      </c>
      <c r="B101" s="174" t="s">
        <v>1210</v>
      </c>
      <c r="C101" s="180" t="s">
        <v>1610</v>
      </c>
      <c r="D101" s="181" t="s">
        <v>1544</v>
      </c>
      <c r="E101" s="182">
        <v>104</v>
      </c>
      <c r="F101" s="182">
        <v>850</v>
      </c>
      <c r="G101" s="176">
        <f t="shared" si="2"/>
        <v>9.6619161600000005</v>
      </c>
      <c r="H101" s="176">
        <f t="shared" si="3"/>
        <v>24.069319950000001</v>
      </c>
      <c r="I101" s="177" t="s">
        <v>1492</v>
      </c>
      <c r="J101" s="178"/>
    </row>
    <row r="102" spans="1:10" ht="14.9" customHeight="1">
      <c r="A102" s="173">
        <v>2.1110000000000002</v>
      </c>
      <c r="B102" s="174" t="s">
        <v>1190</v>
      </c>
      <c r="C102" s="174" t="s">
        <v>179</v>
      </c>
      <c r="D102" s="183" t="s">
        <v>1507</v>
      </c>
      <c r="E102" s="182">
        <v>142</v>
      </c>
      <c r="F102" s="182">
        <v>1207</v>
      </c>
      <c r="G102" s="176">
        <f t="shared" si="2"/>
        <v>13.192231680000001</v>
      </c>
      <c r="H102" s="176">
        <f t="shared" si="3"/>
        <v>34.178434328999998</v>
      </c>
      <c r="I102" s="177" t="s">
        <v>1492</v>
      </c>
      <c r="J102" s="178"/>
    </row>
    <row r="103" spans="1:10" ht="14.9" customHeight="1">
      <c r="A103" s="173">
        <v>2.1110000000000002</v>
      </c>
      <c r="B103" s="174" t="s">
        <v>1611</v>
      </c>
      <c r="C103" s="174" t="s">
        <v>1610</v>
      </c>
      <c r="D103" s="183" t="s">
        <v>1507</v>
      </c>
      <c r="E103" s="182">
        <v>126</v>
      </c>
      <c r="F103" s="182">
        <v>1212</v>
      </c>
      <c r="G103" s="176">
        <f t="shared" si="2"/>
        <v>11.70578304</v>
      </c>
      <c r="H103" s="176">
        <f t="shared" si="3"/>
        <v>34.320018564000002</v>
      </c>
      <c r="I103" s="177" t="s">
        <v>1492</v>
      </c>
      <c r="J103" s="178"/>
    </row>
    <row r="104" spans="1:10" ht="14.9" customHeight="1">
      <c r="A104" s="173">
        <v>2.1110000000000002</v>
      </c>
      <c r="B104" s="174" t="s">
        <v>1207</v>
      </c>
      <c r="C104" s="174" t="s">
        <v>1610</v>
      </c>
      <c r="D104" s="183" t="s">
        <v>1507</v>
      </c>
      <c r="E104" s="182">
        <v>149</v>
      </c>
      <c r="F104" s="182">
        <v>1537</v>
      </c>
      <c r="G104" s="176">
        <f t="shared" si="2"/>
        <v>13.842552960000001</v>
      </c>
      <c r="H104" s="176">
        <f t="shared" si="3"/>
        <v>43.522993839000002</v>
      </c>
      <c r="I104" s="177" t="s">
        <v>1492</v>
      </c>
      <c r="J104" s="178"/>
    </row>
    <row r="105" spans="1:10" ht="14.9" customHeight="1">
      <c r="A105" s="173">
        <v>2.1110000000000002</v>
      </c>
      <c r="B105" s="174" t="s">
        <v>1206</v>
      </c>
      <c r="C105" s="174" t="s">
        <v>180</v>
      </c>
      <c r="D105" s="183" t="s">
        <v>1507</v>
      </c>
      <c r="E105" s="182">
        <v>108</v>
      </c>
      <c r="F105" s="182">
        <v>1134</v>
      </c>
      <c r="G105" s="176">
        <f t="shared" si="2"/>
        <v>10.03352832</v>
      </c>
      <c r="H105" s="176">
        <f t="shared" si="3"/>
        <v>32.111304497999996</v>
      </c>
      <c r="I105" s="177" t="s">
        <v>1492</v>
      </c>
      <c r="J105" s="178"/>
    </row>
    <row r="106" spans="1:10" ht="14.9" customHeight="1">
      <c r="A106" s="173">
        <v>2.1110000000000002</v>
      </c>
      <c r="B106" s="174" t="s">
        <v>1612</v>
      </c>
      <c r="C106" s="174" t="s">
        <v>1610</v>
      </c>
      <c r="D106" s="183" t="s">
        <v>1507</v>
      </c>
      <c r="E106" s="182">
        <v>159</v>
      </c>
      <c r="F106" s="182">
        <v>1305</v>
      </c>
      <c r="G106" s="176">
        <f t="shared" si="2"/>
        <v>14.771583360000001</v>
      </c>
      <c r="H106" s="176">
        <f t="shared" si="3"/>
        <v>36.953485334999996</v>
      </c>
      <c r="I106" s="177" t="s">
        <v>1503</v>
      </c>
      <c r="J106" s="178" t="s">
        <v>1613</v>
      </c>
    </row>
    <row r="107" spans="1:10" ht="14.9" customHeight="1">
      <c r="A107" s="173">
        <v>2.1110000000000002</v>
      </c>
      <c r="B107" s="174" t="s">
        <v>1120</v>
      </c>
      <c r="C107" s="174" t="s">
        <v>1610</v>
      </c>
      <c r="D107" s="175">
        <v>2</v>
      </c>
      <c r="E107" s="175">
        <v>130</v>
      </c>
      <c r="F107" s="175">
        <v>1308</v>
      </c>
      <c r="G107" s="176">
        <f t="shared" si="2"/>
        <v>12.077395200000002</v>
      </c>
      <c r="H107" s="176">
        <f t="shared" si="3"/>
        <v>37.038435876000001</v>
      </c>
      <c r="I107" s="177" t="s">
        <v>1492</v>
      </c>
      <c r="J107" s="178"/>
    </row>
    <row r="108" spans="1:10" ht="14.9" customHeight="1">
      <c r="A108" s="173">
        <v>2.1110000000000002</v>
      </c>
      <c r="B108" s="174" t="s">
        <v>1614</v>
      </c>
      <c r="C108" s="174" t="s">
        <v>1610</v>
      </c>
      <c r="D108" s="175">
        <v>2</v>
      </c>
      <c r="E108" s="175">
        <v>148</v>
      </c>
      <c r="F108" s="175">
        <v>1515</v>
      </c>
      <c r="G108" s="176">
        <f t="shared" si="2"/>
        <v>13.749649920000001</v>
      </c>
      <c r="H108" s="176">
        <f t="shared" si="3"/>
        <v>42.900023204999997</v>
      </c>
      <c r="I108" s="177" t="s">
        <v>1492</v>
      </c>
      <c r="J108" s="178"/>
    </row>
    <row r="109" spans="1:10" ht="14.9" customHeight="1">
      <c r="A109" s="173">
        <v>2.1120000000000001</v>
      </c>
      <c r="B109" s="174" t="s">
        <v>1615</v>
      </c>
      <c r="C109" s="180" t="s">
        <v>1616</v>
      </c>
      <c r="D109" s="181" t="s">
        <v>1544</v>
      </c>
      <c r="E109" s="182">
        <v>49</v>
      </c>
      <c r="F109" s="182">
        <v>402</v>
      </c>
      <c r="G109" s="176">
        <f t="shared" si="2"/>
        <v>4.55224896</v>
      </c>
      <c r="H109" s="176">
        <f t="shared" si="3"/>
        <v>11.383372494</v>
      </c>
      <c r="I109" s="177" t="s">
        <v>1492</v>
      </c>
      <c r="J109" s="178"/>
    </row>
    <row r="110" spans="1:10" ht="14.9" customHeight="1">
      <c r="A110" s="173">
        <v>2.1120000000000001</v>
      </c>
      <c r="B110" s="174" t="s">
        <v>1187</v>
      </c>
      <c r="C110" s="180" t="s">
        <v>182</v>
      </c>
      <c r="D110" s="181" t="s">
        <v>1544</v>
      </c>
      <c r="E110" s="182">
        <v>74</v>
      </c>
      <c r="F110" s="182">
        <v>524</v>
      </c>
      <c r="G110" s="176">
        <f t="shared" si="2"/>
        <v>6.8748249600000007</v>
      </c>
      <c r="H110" s="176">
        <f t="shared" si="3"/>
        <v>14.838027828</v>
      </c>
      <c r="I110" s="177" t="s">
        <v>1492</v>
      </c>
      <c r="J110" s="178"/>
    </row>
    <row r="111" spans="1:10" ht="14.9" customHeight="1">
      <c r="A111" s="173">
        <v>2.1120000000000001</v>
      </c>
      <c r="B111" s="174" t="s">
        <v>1176</v>
      </c>
      <c r="C111" s="180" t="s">
        <v>1617</v>
      </c>
      <c r="D111" s="181" t="s">
        <v>1544</v>
      </c>
      <c r="E111" s="182">
        <v>107</v>
      </c>
      <c r="F111" s="182">
        <v>870</v>
      </c>
      <c r="G111" s="176">
        <f t="shared" si="2"/>
        <v>9.9406252800000008</v>
      </c>
      <c r="H111" s="176">
        <f t="shared" si="3"/>
        <v>24.63565689</v>
      </c>
      <c r="I111" s="177" t="s">
        <v>1492</v>
      </c>
      <c r="J111" s="178"/>
    </row>
    <row r="112" spans="1:10" ht="14.9" customHeight="1">
      <c r="A112" s="173">
        <v>2.1120000000000001</v>
      </c>
      <c r="B112" s="174" t="s">
        <v>1181</v>
      </c>
      <c r="C112" s="174" t="s">
        <v>184</v>
      </c>
      <c r="D112" s="183" t="s">
        <v>1507</v>
      </c>
      <c r="E112" s="182">
        <v>33</v>
      </c>
      <c r="F112" s="182">
        <v>281</v>
      </c>
      <c r="G112" s="176">
        <f t="shared" si="2"/>
        <v>3.0658003200000001</v>
      </c>
      <c r="H112" s="176">
        <f t="shared" si="3"/>
        <v>7.9570340069999999</v>
      </c>
      <c r="I112" s="177" t="s">
        <v>1492</v>
      </c>
      <c r="J112" s="178"/>
    </row>
    <row r="113" spans="1:10" ht="14.9" customHeight="1">
      <c r="A113" s="179">
        <v>2.1120000000000001</v>
      </c>
      <c r="B113" s="180" t="s">
        <v>1618</v>
      </c>
      <c r="C113" s="180" t="s">
        <v>1619</v>
      </c>
      <c r="D113" s="183" t="s">
        <v>1507</v>
      </c>
      <c r="E113" s="182">
        <v>84</v>
      </c>
      <c r="F113" s="182">
        <v>751</v>
      </c>
      <c r="G113" s="176">
        <f t="shared" si="2"/>
        <v>7.8038553600000009</v>
      </c>
      <c r="H113" s="176">
        <f t="shared" si="3"/>
        <v>21.265952097</v>
      </c>
      <c r="I113" s="177" t="s">
        <v>1492</v>
      </c>
      <c r="J113" s="178"/>
    </row>
    <row r="114" spans="1:10" ht="14.9" customHeight="1">
      <c r="A114" s="173">
        <v>2.1120000000000001</v>
      </c>
      <c r="B114" s="174" t="s">
        <v>1620</v>
      </c>
      <c r="C114" s="174" t="s">
        <v>1619</v>
      </c>
      <c r="D114" s="175">
        <v>2</v>
      </c>
      <c r="E114" s="175">
        <v>84</v>
      </c>
      <c r="F114" s="175">
        <v>856</v>
      </c>
      <c r="G114" s="176">
        <f t="shared" si="2"/>
        <v>7.8038553600000009</v>
      </c>
      <c r="H114" s="176">
        <f t="shared" si="3"/>
        <v>24.239221032</v>
      </c>
      <c r="I114" s="177" t="s">
        <v>1492</v>
      </c>
      <c r="J114" s="178"/>
    </row>
    <row r="115" spans="1:10" ht="14.9" customHeight="1">
      <c r="A115" s="173">
        <v>2.121</v>
      </c>
      <c r="B115" s="174" t="s">
        <v>1168</v>
      </c>
      <c r="C115" s="174" t="s">
        <v>1621</v>
      </c>
      <c r="D115" s="175">
        <v>1</v>
      </c>
      <c r="E115" s="175">
        <v>258</v>
      </c>
      <c r="F115" s="175">
        <v>2436</v>
      </c>
      <c r="G115" s="176">
        <f t="shared" si="2"/>
        <v>23.968984320000001</v>
      </c>
      <c r="H115" s="176">
        <f t="shared" si="3"/>
        <v>68.979839291999994</v>
      </c>
      <c r="I115" s="184" t="s">
        <v>1492</v>
      </c>
      <c r="J115" s="185"/>
    </row>
    <row r="116" spans="1:10" ht="14.9" customHeight="1">
      <c r="A116" s="173">
        <v>2.121</v>
      </c>
      <c r="B116" s="174" t="s">
        <v>1166</v>
      </c>
      <c r="C116" s="174" t="s">
        <v>1622</v>
      </c>
      <c r="D116" s="175">
        <v>1</v>
      </c>
      <c r="E116" s="175">
        <v>76</v>
      </c>
      <c r="F116" s="175">
        <v>752</v>
      </c>
      <c r="G116" s="176">
        <f t="shared" si="2"/>
        <v>7.0606310400000005</v>
      </c>
      <c r="H116" s="176">
        <f t="shared" si="3"/>
        <v>21.294268943999999</v>
      </c>
      <c r="I116" s="184" t="s">
        <v>1492</v>
      </c>
      <c r="J116" s="185"/>
    </row>
    <row r="117" spans="1:10" ht="14.9" customHeight="1">
      <c r="A117" s="173">
        <v>2.121</v>
      </c>
      <c r="B117" s="174" t="s">
        <v>1164</v>
      </c>
      <c r="C117" s="174" t="s">
        <v>1623</v>
      </c>
      <c r="D117" s="175">
        <v>1</v>
      </c>
      <c r="E117" s="175">
        <v>64</v>
      </c>
      <c r="F117" s="175">
        <v>636</v>
      </c>
      <c r="G117" s="176">
        <f t="shared" si="2"/>
        <v>5.9457945600000004</v>
      </c>
      <c r="H117" s="176">
        <f t="shared" si="3"/>
        <v>18.009514692</v>
      </c>
      <c r="I117" s="184" t="s">
        <v>1492</v>
      </c>
      <c r="J117" s="185"/>
    </row>
    <row r="118" spans="1:10" ht="14.9" customHeight="1">
      <c r="A118" s="173">
        <v>2.121</v>
      </c>
      <c r="B118" s="174" t="s">
        <v>1162</v>
      </c>
      <c r="C118" s="174" t="s">
        <v>1624</v>
      </c>
      <c r="D118" s="175">
        <v>2</v>
      </c>
      <c r="E118" s="175">
        <v>276</v>
      </c>
      <c r="F118" s="175">
        <v>2835</v>
      </c>
      <c r="G118" s="176">
        <f t="shared" si="2"/>
        <v>25.641239040000002</v>
      </c>
      <c r="H118" s="176">
        <f t="shared" si="3"/>
        <v>80.278261244999996</v>
      </c>
      <c r="I118" s="177" t="s">
        <v>1492</v>
      </c>
      <c r="J118" s="178"/>
    </row>
    <row r="119" spans="1:10" ht="14.9" customHeight="1">
      <c r="A119" s="173">
        <v>2.1219999999999999</v>
      </c>
      <c r="B119" s="174" t="s">
        <v>1159</v>
      </c>
      <c r="C119" s="174" t="s">
        <v>1625</v>
      </c>
      <c r="D119" s="175">
        <v>1</v>
      </c>
      <c r="E119" s="175">
        <v>94</v>
      </c>
      <c r="F119" s="175">
        <v>1025</v>
      </c>
      <c r="G119" s="176">
        <f t="shared" si="2"/>
        <v>8.7328857600000003</v>
      </c>
      <c r="H119" s="176">
        <f t="shared" si="3"/>
        <v>29.024768174999998</v>
      </c>
      <c r="I119" s="184" t="s">
        <v>1492</v>
      </c>
      <c r="J119" s="185"/>
    </row>
    <row r="120" spans="1:10" ht="14.9" customHeight="1">
      <c r="A120" s="186">
        <v>2.1219999999999999</v>
      </c>
      <c r="B120" s="174" t="s">
        <v>1158</v>
      </c>
      <c r="C120" s="174" t="s">
        <v>1626</v>
      </c>
      <c r="D120" s="175">
        <v>1</v>
      </c>
      <c r="E120" s="175">
        <v>37</v>
      </c>
      <c r="F120" s="175">
        <v>407</v>
      </c>
      <c r="G120" s="176">
        <f t="shared" si="2"/>
        <v>3.4374124800000003</v>
      </c>
      <c r="H120" s="176">
        <f t="shared" si="3"/>
        <v>11.524956728999999</v>
      </c>
      <c r="I120" s="184" t="s">
        <v>1492</v>
      </c>
      <c r="J120" s="185"/>
    </row>
    <row r="121" spans="1:10" ht="14.9" customHeight="1">
      <c r="A121" s="173">
        <v>2.1219999999999999</v>
      </c>
      <c r="B121" s="174" t="s">
        <v>1155</v>
      </c>
      <c r="C121" s="174" t="s">
        <v>1154</v>
      </c>
      <c r="D121" s="175">
        <v>2</v>
      </c>
      <c r="E121" s="175">
        <v>89</v>
      </c>
      <c r="F121" s="175">
        <v>842</v>
      </c>
      <c r="G121" s="176">
        <f t="shared" si="2"/>
        <v>8.268370560000001</v>
      </c>
      <c r="H121" s="176">
        <f t="shared" si="3"/>
        <v>23.842785173999999</v>
      </c>
      <c r="I121" s="177" t="s">
        <v>1492</v>
      </c>
      <c r="J121" s="178"/>
    </row>
    <row r="122" spans="1:10" ht="14.9" customHeight="1">
      <c r="A122" s="173">
        <v>2.1309999999999998</v>
      </c>
      <c r="B122" s="174" t="s">
        <v>1627</v>
      </c>
      <c r="C122" s="174" t="s">
        <v>1628</v>
      </c>
      <c r="D122" s="175">
        <v>2</v>
      </c>
      <c r="E122" s="175">
        <v>1262</v>
      </c>
      <c r="F122" s="175">
        <v>135383</v>
      </c>
      <c r="G122" s="176">
        <f t="shared" si="2"/>
        <v>117.24363648000001</v>
      </c>
      <c r="H122" s="176">
        <f t="shared" si="3"/>
        <v>3833.6196974009999</v>
      </c>
      <c r="I122" s="177" t="s">
        <v>1492</v>
      </c>
      <c r="J122" s="178"/>
    </row>
    <row r="123" spans="1:10" ht="14.9" customHeight="1">
      <c r="A123" s="173">
        <v>2.1309999999999998</v>
      </c>
      <c r="B123" s="174" t="s">
        <v>1629</v>
      </c>
      <c r="C123" s="174" t="s">
        <v>1630</v>
      </c>
      <c r="D123" s="175">
        <v>2</v>
      </c>
      <c r="E123" s="175">
        <v>1539</v>
      </c>
      <c r="F123" s="175">
        <v>14079</v>
      </c>
      <c r="G123" s="176">
        <f t="shared" si="2"/>
        <v>142.97777856000002</v>
      </c>
      <c r="H123" s="176">
        <f t="shared" si="3"/>
        <v>398.67288891300001</v>
      </c>
      <c r="I123" s="177" t="s">
        <v>1492</v>
      </c>
      <c r="J123" s="178"/>
    </row>
    <row r="124" spans="1:10" ht="14.9" customHeight="1">
      <c r="A124" s="173">
        <v>2.1309999999999998</v>
      </c>
      <c r="B124" s="174" t="s">
        <v>1631</v>
      </c>
      <c r="C124" s="174" t="s">
        <v>1632</v>
      </c>
      <c r="D124" s="175">
        <v>3</v>
      </c>
      <c r="E124" s="175">
        <v>911</v>
      </c>
      <c r="F124" s="175">
        <v>8984</v>
      </c>
      <c r="G124" s="176">
        <f t="shared" si="2"/>
        <v>84.63466944000001</v>
      </c>
      <c r="H124" s="176">
        <f t="shared" si="3"/>
        <v>254.398553448</v>
      </c>
      <c r="I124" s="177" t="s">
        <v>1503</v>
      </c>
      <c r="J124" s="178" t="s">
        <v>1583</v>
      </c>
    </row>
    <row r="125" spans="1:10" ht="14.9" customHeight="1">
      <c r="A125" s="173">
        <v>2.1309999999999998</v>
      </c>
      <c r="B125" s="174" t="s">
        <v>1143</v>
      </c>
      <c r="C125" s="174" t="s">
        <v>1633</v>
      </c>
      <c r="D125" s="175">
        <v>3</v>
      </c>
      <c r="E125" s="175">
        <v>403</v>
      </c>
      <c r="F125" s="175">
        <v>3781</v>
      </c>
      <c r="G125" s="176">
        <f t="shared" si="2"/>
        <v>37.439925120000005</v>
      </c>
      <c r="H125" s="176">
        <f t="shared" si="3"/>
        <v>107.065998507</v>
      </c>
      <c r="I125" s="177" t="s">
        <v>1492</v>
      </c>
      <c r="J125" s="178"/>
    </row>
    <row r="126" spans="1:10" ht="14.9" customHeight="1">
      <c r="A126" s="173">
        <v>2.1309999999999998</v>
      </c>
      <c r="B126" s="174" t="s">
        <v>1141</v>
      </c>
      <c r="C126" s="174" t="s">
        <v>1634</v>
      </c>
      <c r="D126" s="175">
        <v>3</v>
      </c>
      <c r="E126" s="175">
        <v>455</v>
      </c>
      <c r="F126" s="175">
        <v>3726</v>
      </c>
      <c r="G126" s="176">
        <f t="shared" si="2"/>
        <v>42.2708832</v>
      </c>
      <c r="H126" s="176">
        <f t="shared" si="3"/>
        <v>105.508571922</v>
      </c>
      <c r="I126" s="177" t="s">
        <v>29</v>
      </c>
      <c r="J126" s="178"/>
    </row>
    <row r="127" spans="1:10" ht="14.9" customHeight="1">
      <c r="A127" s="173">
        <v>2.1309999999999998</v>
      </c>
      <c r="B127" s="174" t="s">
        <v>1139</v>
      </c>
      <c r="C127" s="174" t="s">
        <v>1635</v>
      </c>
      <c r="D127" s="175">
        <v>3</v>
      </c>
      <c r="E127" s="175">
        <v>320</v>
      </c>
      <c r="F127" s="175">
        <v>3000</v>
      </c>
      <c r="G127" s="176">
        <f t="shared" si="2"/>
        <v>29.728972800000001</v>
      </c>
      <c r="H127" s="176">
        <f t="shared" si="3"/>
        <v>84.950541000000001</v>
      </c>
      <c r="I127" s="177" t="s">
        <v>1492</v>
      </c>
      <c r="J127" s="178"/>
    </row>
    <row r="128" spans="1:10" ht="14.9" customHeight="1">
      <c r="A128" s="173">
        <v>2.1309999999999998</v>
      </c>
      <c r="B128" s="174" t="s">
        <v>1137</v>
      </c>
      <c r="C128" s="174" t="s">
        <v>1636</v>
      </c>
      <c r="D128" s="175">
        <v>3</v>
      </c>
      <c r="E128" s="175">
        <v>258</v>
      </c>
      <c r="F128" s="175">
        <v>2217</v>
      </c>
      <c r="G128" s="176">
        <f t="shared" si="2"/>
        <v>23.968984320000001</v>
      </c>
      <c r="H128" s="176">
        <f t="shared" si="3"/>
        <v>62.778449799000001</v>
      </c>
      <c r="I128" s="177" t="s">
        <v>1492</v>
      </c>
      <c r="J128" s="178"/>
    </row>
    <row r="129" spans="1:10" ht="14.9" customHeight="1">
      <c r="A129" s="173">
        <v>2.1320000000000001</v>
      </c>
      <c r="B129" s="174" t="s">
        <v>1637</v>
      </c>
      <c r="C129" s="174" t="s">
        <v>1638</v>
      </c>
      <c r="D129" s="175">
        <v>2</v>
      </c>
      <c r="E129" s="175">
        <v>209</v>
      </c>
      <c r="F129" s="175">
        <v>1915</v>
      </c>
      <c r="G129" s="176">
        <f t="shared" si="2"/>
        <v>19.416735360000001</v>
      </c>
      <c r="H129" s="176">
        <f t="shared" si="3"/>
        <v>54.226762004999998</v>
      </c>
      <c r="I129" s="177" t="s">
        <v>1492</v>
      </c>
      <c r="J129" s="178"/>
    </row>
    <row r="130" spans="1:10" ht="14.9" customHeight="1">
      <c r="A130" s="173">
        <v>2.1320000000000001</v>
      </c>
      <c r="B130" s="174" t="s">
        <v>1639</v>
      </c>
      <c r="C130" s="174" t="s">
        <v>1640</v>
      </c>
      <c r="D130" s="175">
        <v>2</v>
      </c>
      <c r="E130" s="175">
        <v>129</v>
      </c>
      <c r="F130" s="175">
        <v>1184</v>
      </c>
      <c r="G130" s="176">
        <f t="shared" si="2"/>
        <v>11.98449216</v>
      </c>
      <c r="H130" s="176">
        <f t="shared" si="3"/>
        <v>33.527146848000001</v>
      </c>
      <c r="I130" s="177" t="s">
        <v>1503</v>
      </c>
      <c r="J130" s="178" t="s">
        <v>1641</v>
      </c>
    </row>
    <row r="131" spans="1:10" ht="14.9" customHeight="1">
      <c r="A131" s="173">
        <v>2.1320000000000001</v>
      </c>
      <c r="B131" s="174" t="s">
        <v>1642</v>
      </c>
      <c r="C131" s="174" t="s">
        <v>1643</v>
      </c>
      <c r="D131" s="175">
        <v>2</v>
      </c>
      <c r="E131" s="175">
        <v>160</v>
      </c>
      <c r="F131" s="175">
        <v>1466</v>
      </c>
      <c r="G131" s="176">
        <f t="shared" si="2"/>
        <v>14.864486400000001</v>
      </c>
      <c r="H131" s="176">
        <f t="shared" si="3"/>
        <v>41.512497701999997</v>
      </c>
      <c r="I131" s="177" t="s">
        <v>1503</v>
      </c>
      <c r="J131" s="178" t="s">
        <v>1641</v>
      </c>
    </row>
    <row r="132" spans="1:10" ht="14.9" customHeight="1">
      <c r="A132" s="173">
        <v>2.1320000000000001</v>
      </c>
      <c r="B132" s="174" t="s">
        <v>1644</v>
      </c>
      <c r="C132" s="174" t="s">
        <v>1645</v>
      </c>
      <c r="D132" s="175">
        <v>3</v>
      </c>
      <c r="E132" s="175">
        <v>120</v>
      </c>
      <c r="F132" s="175">
        <v>1028</v>
      </c>
      <c r="G132" s="176">
        <f t="shared" si="2"/>
        <v>11.148364800000001</v>
      </c>
      <c r="H132" s="176">
        <f t="shared" si="3"/>
        <v>29.109718716</v>
      </c>
      <c r="I132" s="177" t="s">
        <v>1503</v>
      </c>
      <c r="J132" s="178" t="s">
        <v>1583</v>
      </c>
    </row>
    <row r="133" spans="1:10" ht="14.9" customHeight="1">
      <c r="A133" s="173">
        <v>2.1320000000000001</v>
      </c>
      <c r="B133" s="174" t="s">
        <v>1129</v>
      </c>
      <c r="C133" s="174" t="s">
        <v>1638</v>
      </c>
      <c r="D133" s="175">
        <v>3</v>
      </c>
      <c r="E133" s="175">
        <v>90</v>
      </c>
      <c r="F133" s="175">
        <v>882</v>
      </c>
      <c r="G133" s="176">
        <f t="shared" ref="G133:G196" si="4">E133*0.09290304</f>
        <v>8.3612736000000005</v>
      </c>
      <c r="H133" s="176">
        <f t="shared" ref="H133:H196" si="5">F133*0.028316847</f>
        <v>24.975459053999998</v>
      </c>
      <c r="I133" s="177" t="s">
        <v>29</v>
      </c>
      <c r="J133" s="178"/>
    </row>
    <row r="134" spans="1:10" ht="14.9" customHeight="1">
      <c r="A134" s="173">
        <v>2.1320000000000001</v>
      </c>
      <c r="B134" s="174" t="s">
        <v>1128</v>
      </c>
      <c r="C134" s="174" t="s">
        <v>1638</v>
      </c>
      <c r="D134" s="175">
        <v>3</v>
      </c>
      <c r="E134" s="175">
        <v>105</v>
      </c>
      <c r="F134" s="175">
        <v>1099</v>
      </c>
      <c r="G134" s="176">
        <f t="shared" si="4"/>
        <v>9.7548192</v>
      </c>
      <c r="H134" s="176">
        <f t="shared" si="5"/>
        <v>31.120214853</v>
      </c>
      <c r="I134" s="177" t="s">
        <v>1492</v>
      </c>
      <c r="J134" s="178"/>
    </row>
    <row r="135" spans="1:10" ht="14.9" customHeight="1">
      <c r="A135" s="173">
        <v>2.1320000000000001</v>
      </c>
      <c r="B135" s="174" t="s">
        <v>1023</v>
      </c>
      <c r="C135" s="174" t="s">
        <v>1646</v>
      </c>
      <c r="D135" s="175">
        <v>3</v>
      </c>
      <c r="E135" s="175">
        <v>90</v>
      </c>
      <c r="F135" s="175">
        <v>773</v>
      </c>
      <c r="G135" s="176">
        <f t="shared" si="4"/>
        <v>8.3612736000000005</v>
      </c>
      <c r="H135" s="176">
        <f t="shared" si="5"/>
        <v>21.888922731000001</v>
      </c>
      <c r="I135" s="177" t="s">
        <v>1492</v>
      </c>
      <c r="J135" s="178"/>
    </row>
    <row r="136" spans="1:10" ht="14.9" customHeight="1">
      <c r="A136" s="173">
        <v>2.1320000000000001</v>
      </c>
      <c r="B136" s="174" t="s">
        <v>1125</v>
      </c>
      <c r="C136" s="174" t="s">
        <v>1647</v>
      </c>
      <c r="D136" s="175">
        <v>3</v>
      </c>
      <c r="E136" s="175">
        <v>88</v>
      </c>
      <c r="F136" s="175">
        <v>755</v>
      </c>
      <c r="G136" s="176">
        <f t="shared" si="4"/>
        <v>8.1754675199999998</v>
      </c>
      <c r="H136" s="176">
        <f t="shared" si="5"/>
        <v>21.379219485</v>
      </c>
      <c r="I136" s="177"/>
      <c r="J136" s="178"/>
    </row>
    <row r="137" spans="1:10" ht="14.9" customHeight="1">
      <c r="A137" s="173">
        <v>2.133</v>
      </c>
      <c r="B137" s="174" t="s">
        <v>1107</v>
      </c>
      <c r="C137" s="174" t="s">
        <v>1648</v>
      </c>
      <c r="D137" s="183" t="s">
        <v>1507</v>
      </c>
      <c r="E137" s="182">
        <v>258</v>
      </c>
      <c r="F137" s="182">
        <v>2550</v>
      </c>
      <c r="G137" s="176">
        <f t="shared" si="4"/>
        <v>23.968984320000001</v>
      </c>
      <c r="H137" s="176">
        <f t="shared" si="5"/>
        <v>72.207959849999995</v>
      </c>
      <c r="I137" s="177" t="s">
        <v>1492</v>
      </c>
      <c r="J137" s="178"/>
    </row>
    <row r="138" spans="1:10" ht="14.9" customHeight="1">
      <c r="A138" s="173">
        <v>2.133</v>
      </c>
      <c r="B138" s="174" t="s">
        <v>1122</v>
      </c>
      <c r="C138" s="174" t="s">
        <v>1649</v>
      </c>
      <c r="D138" s="175">
        <v>2</v>
      </c>
      <c r="E138" s="175">
        <v>159</v>
      </c>
      <c r="F138" s="175">
        <v>1454</v>
      </c>
      <c r="G138" s="176">
        <f t="shared" si="4"/>
        <v>14.771583360000001</v>
      </c>
      <c r="H138" s="176">
        <f t="shared" si="5"/>
        <v>41.172695537999999</v>
      </c>
      <c r="I138" s="177" t="s">
        <v>1492</v>
      </c>
      <c r="J138" s="178"/>
    </row>
    <row r="139" spans="1:10" ht="14.9" customHeight="1">
      <c r="A139" s="179">
        <v>2.14</v>
      </c>
      <c r="B139" s="180" t="s">
        <v>1118</v>
      </c>
      <c r="C139" s="180" t="s">
        <v>1650</v>
      </c>
      <c r="D139" s="181" t="s">
        <v>1494</v>
      </c>
      <c r="E139" s="182">
        <v>12</v>
      </c>
      <c r="F139" s="182">
        <v>102</v>
      </c>
      <c r="G139" s="176">
        <f t="shared" si="4"/>
        <v>1.1148364800000001</v>
      </c>
      <c r="H139" s="176">
        <f t="shared" si="5"/>
        <v>2.8883183940000001</v>
      </c>
      <c r="I139" s="177" t="s">
        <v>1492</v>
      </c>
      <c r="J139" s="178"/>
    </row>
    <row r="140" spans="1:10" ht="14.9" customHeight="1">
      <c r="A140" s="173">
        <v>2.14</v>
      </c>
      <c r="B140" s="174" t="s">
        <v>1115</v>
      </c>
      <c r="C140" s="180" t="s">
        <v>1651</v>
      </c>
      <c r="D140" s="181" t="s">
        <v>1544</v>
      </c>
      <c r="E140" s="182">
        <v>30</v>
      </c>
      <c r="F140" s="182">
        <v>245</v>
      </c>
      <c r="G140" s="176">
        <f t="shared" si="4"/>
        <v>2.7870912000000003</v>
      </c>
      <c r="H140" s="176">
        <f t="shared" si="5"/>
        <v>6.937627515</v>
      </c>
      <c r="I140" s="177" t="s">
        <v>1492</v>
      </c>
      <c r="J140" s="178"/>
    </row>
    <row r="141" spans="1:10" ht="14.9" customHeight="1">
      <c r="A141" s="173">
        <v>2.153</v>
      </c>
      <c r="B141" s="174" t="s">
        <v>1652</v>
      </c>
      <c r="C141" s="174" t="s">
        <v>1653</v>
      </c>
      <c r="D141" s="175">
        <v>2</v>
      </c>
      <c r="E141" s="175">
        <v>293</v>
      </c>
      <c r="F141" s="175">
        <v>2934</v>
      </c>
      <c r="G141" s="176">
        <f t="shared" si="4"/>
        <v>27.220590720000001</v>
      </c>
      <c r="H141" s="176">
        <f t="shared" si="5"/>
        <v>83.081629097999993</v>
      </c>
      <c r="I141" s="177" t="s">
        <v>351</v>
      </c>
      <c r="J141" s="178"/>
    </row>
    <row r="142" spans="1:10" ht="14.9" customHeight="1">
      <c r="A142" s="173">
        <v>2.153</v>
      </c>
      <c r="B142" s="174" t="s">
        <v>1110</v>
      </c>
      <c r="C142" s="174" t="s">
        <v>1654</v>
      </c>
      <c r="D142" s="175">
        <v>4</v>
      </c>
      <c r="E142" s="175">
        <v>58</v>
      </c>
      <c r="F142" s="175">
        <v>401</v>
      </c>
      <c r="G142" s="176">
        <f t="shared" si="4"/>
        <v>5.3883763200000008</v>
      </c>
      <c r="H142" s="176">
        <f t="shared" si="5"/>
        <v>11.355055647</v>
      </c>
      <c r="I142" s="177" t="s">
        <v>1492</v>
      </c>
      <c r="J142" s="178"/>
    </row>
    <row r="143" spans="1:10" ht="14.9" customHeight="1">
      <c r="A143" s="173">
        <v>2.2109999999999999</v>
      </c>
      <c r="B143" s="174" t="s">
        <v>1104</v>
      </c>
      <c r="C143" s="180" t="s">
        <v>1655</v>
      </c>
      <c r="D143" s="181" t="s">
        <v>1544</v>
      </c>
      <c r="E143" s="182">
        <v>500</v>
      </c>
      <c r="F143" s="182">
        <v>3834</v>
      </c>
      <c r="G143" s="176">
        <f t="shared" si="4"/>
        <v>46.451520000000002</v>
      </c>
      <c r="H143" s="176">
        <f t="shared" si="5"/>
        <v>108.56679139799999</v>
      </c>
      <c r="I143" s="177" t="s">
        <v>1492</v>
      </c>
      <c r="J143" s="178"/>
    </row>
    <row r="144" spans="1:10" ht="14.9" customHeight="1">
      <c r="A144" s="173">
        <v>2.2120000000000002</v>
      </c>
      <c r="B144" s="174" t="s">
        <v>1101</v>
      </c>
      <c r="C144" s="174" t="s">
        <v>1656</v>
      </c>
      <c r="D144" s="175">
        <v>1</v>
      </c>
      <c r="E144" s="175">
        <v>459</v>
      </c>
      <c r="F144" s="175">
        <v>4284</v>
      </c>
      <c r="G144" s="176">
        <f t="shared" si="4"/>
        <v>42.642495360000005</v>
      </c>
      <c r="H144" s="176">
        <f t="shared" si="5"/>
        <v>121.309372548</v>
      </c>
      <c r="I144" s="177" t="s">
        <v>1492</v>
      </c>
      <c r="J144" s="178"/>
    </row>
    <row r="145" spans="1:10" ht="14.9" customHeight="1">
      <c r="A145" s="173">
        <v>2.2130000000000001</v>
      </c>
      <c r="B145" s="174" t="s">
        <v>1098</v>
      </c>
      <c r="C145" s="174" t="s">
        <v>1657</v>
      </c>
      <c r="D145" s="175">
        <v>1</v>
      </c>
      <c r="E145" s="175">
        <v>1127</v>
      </c>
      <c r="F145" s="175">
        <v>11388</v>
      </c>
      <c r="G145" s="176">
        <f t="shared" si="4"/>
        <v>104.70172608</v>
      </c>
      <c r="H145" s="176">
        <f t="shared" si="5"/>
        <v>322.472253636</v>
      </c>
      <c r="I145" s="177" t="s">
        <v>1492</v>
      </c>
      <c r="J145" s="178"/>
    </row>
    <row r="146" spans="1:10" ht="14.9" customHeight="1">
      <c r="A146" s="173">
        <v>2.222</v>
      </c>
      <c r="B146" s="174" t="s">
        <v>1094</v>
      </c>
      <c r="C146" s="180" t="s">
        <v>1658</v>
      </c>
      <c r="D146" s="181" t="s">
        <v>1544</v>
      </c>
      <c r="E146" s="182">
        <v>221</v>
      </c>
      <c r="F146" s="182">
        <v>1713</v>
      </c>
      <c r="G146" s="176">
        <f t="shared" si="4"/>
        <v>20.531571840000002</v>
      </c>
      <c r="H146" s="176">
        <f t="shared" si="5"/>
        <v>48.506758910999999</v>
      </c>
      <c r="I146" s="177" t="s">
        <v>1492</v>
      </c>
      <c r="J146" s="178"/>
    </row>
    <row r="147" spans="1:10" ht="14.9" customHeight="1">
      <c r="A147" s="173">
        <v>2.222</v>
      </c>
      <c r="B147" s="174" t="s">
        <v>1091</v>
      </c>
      <c r="C147" s="174" t="s">
        <v>1659</v>
      </c>
      <c r="D147" s="175">
        <v>1</v>
      </c>
      <c r="E147" s="175">
        <v>732</v>
      </c>
      <c r="F147" s="175">
        <v>6767</v>
      </c>
      <c r="G147" s="176">
        <f t="shared" si="4"/>
        <v>68.005025279999998</v>
      </c>
      <c r="H147" s="176">
        <f t="shared" si="5"/>
        <v>191.62010364899999</v>
      </c>
      <c r="I147" s="177" t="s">
        <v>1492</v>
      </c>
      <c r="J147" s="178"/>
    </row>
    <row r="148" spans="1:10" ht="14.9" customHeight="1">
      <c r="A148" s="173">
        <v>2.2240000000000002</v>
      </c>
      <c r="B148" s="174" t="s">
        <v>1088</v>
      </c>
      <c r="C148" s="174" t="s">
        <v>139</v>
      </c>
      <c r="D148" s="175">
        <v>1</v>
      </c>
      <c r="E148" s="175">
        <v>152</v>
      </c>
      <c r="F148" s="175">
        <v>1418</v>
      </c>
      <c r="G148" s="176">
        <f t="shared" si="4"/>
        <v>14.121262080000001</v>
      </c>
      <c r="H148" s="176">
        <f t="shared" si="5"/>
        <v>40.153289045999998</v>
      </c>
      <c r="I148" s="177" t="s">
        <v>1492</v>
      </c>
      <c r="J148" s="178"/>
    </row>
    <row r="149" spans="1:10" ht="14.9" customHeight="1">
      <c r="A149" s="173">
        <v>2.2309999999999999</v>
      </c>
      <c r="B149" s="174" t="s">
        <v>1085</v>
      </c>
      <c r="C149" s="174" t="s">
        <v>1660</v>
      </c>
      <c r="D149" s="175">
        <v>2</v>
      </c>
      <c r="E149" s="175">
        <v>261</v>
      </c>
      <c r="F149" s="175">
        <v>2531</v>
      </c>
      <c r="G149" s="176">
        <f t="shared" si="4"/>
        <v>24.247693440000003</v>
      </c>
      <c r="H149" s="176">
        <f t="shared" si="5"/>
        <v>71.669939756999995</v>
      </c>
      <c r="I149" s="177" t="s">
        <v>1492</v>
      </c>
      <c r="J149" s="178"/>
    </row>
    <row r="150" spans="1:10" ht="14.9" customHeight="1">
      <c r="A150" s="173">
        <v>2.2320000000000002</v>
      </c>
      <c r="B150" s="174" t="s">
        <v>1082</v>
      </c>
      <c r="C150" s="174" t="s">
        <v>1661</v>
      </c>
      <c r="D150" s="175">
        <v>2</v>
      </c>
      <c r="E150" s="175">
        <v>294</v>
      </c>
      <c r="F150" s="175">
        <v>2846</v>
      </c>
      <c r="G150" s="176">
        <f t="shared" si="4"/>
        <v>27.31349376</v>
      </c>
      <c r="H150" s="176">
        <f t="shared" si="5"/>
        <v>80.589746562000002</v>
      </c>
      <c r="I150" s="177" t="s">
        <v>1492</v>
      </c>
      <c r="J150" s="178"/>
    </row>
    <row r="151" spans="1:10" ht="14.9" customHeight="1">
      <c r="A151" s="173">
        <v>2.2330000000000001</v>
      </c>
      <c r="B151" s="174" t="s">
        <v>1079</v>
      </c>
      <c r="C151" s="174" t="s">
        <v>1662</v>
      </c>
      <c r="D151" s="175">
        <v>2</v>
      </c>
      <c r="E151" s="175">
        <v>498</v>
      </c>
      <c r="F151" s="175">
        <v>4729</v>
      </c>
      <c r="G151" s="176">
        <f t="shared" si="4"/>
        <v>46.265713920000003</v>
      </c>
      <c r="H151" s="176">
        <f t="shared" si="5"/>
        <v>133.91036946299999</v>
      </c>
      <c r="I151" s="177" t="s">
        <v>1492</v>
      </c>
      <c r="J151" s="178"/>
    </row>
    <row r="152" spans="1:10" ht="14.9" customHeight="1">
      <c r="A152" s="173">
        <v>2.31</v>
      </c>
      <c r="B152" s="174" t="s">
        <v>1071</v>
      </c>
      <c r="C152" s="174" t="s">
        <v>213</v>
      </c>
      <c r="D152" s="175">
        <v>1</v>
      </c>
      <c r="E152" s="175">
        <v>73</v>
      </c>
      <c r="F152" s="175">
        <v>672</v>
      </c>
      <c r="G152" s="176">
        <f t="shared" si="4"/>
        <v>6.7819219200000003</v>
      </c>
      <c r="H152" s="176">
        <f t="shared" si="5"/>
        <v>19.028921183999998</v>
      </c>
      <c r="I152" s="177" t="s">
        <v>1492</v>
      </c>
      <c r="J152" s="178"/>
    </row>
    <row r="153" spans="1:10" ht="14.9" customHeight="1">
      <c r="A153" s="173">
        <v>2.31</v>
      </c>
      <c r="B153" s="174" t="s">
        <v>1074</v>
      </c>
      <c r="C153" s="174" t="s">
        <v>211</v>
      </c>
      <c r="D153" s="175">
        <v>1</v>
      </c>
      <c r="E153" s="175">
        <v>180</v>
      </c>
      <c r="F153" s="175">
        <v>1647</v>
      </c>
      <c r="G153" s="176">
        <f t="shared" si="4"/>
        <v>16.722547200000001</v>
      </c>
      <c r="H153" s="176">
        <f t="shared" si="5"/>
        <v>46.637847008999998</v>
      </c>
      <c r="I153" s="177" t="s">
        <v>1492</v>
      </c>
      <c r="J153" s="178"/>
    </row>
    <row r="154" spans="1:10" ht="14.9" customHeight="1">
      <c r="A154" s="173">
        <v>2.31</v>
      </c>
      <c r="B154" s="174" t="s">
        <v>1068</v>
      </c>
      <c r="C154" s="174" t="s">
        <v>214</v>
      </c>
      <c r="D154" s="175">
        <v>1</v>
      </c>
      <c r="E154" s="175">
        <v>37</v>
      </c>
      <c r="F154" s="175">
        <v>347</v>
      </c>
      <c r="G154" s="176">
        <f t="shared" si="4"/>
        <v>3.4374124800000003</v>
      </c>
      <c r="H154" s="176">
        <f t="shared" si="5"/>
        <v>9.8259459089999996</v>
      </c>
      <c r="I154" s="177" t="s">
        <v>1492</v>
      </c>
      <c r="J154" s="178"/>
    </row>
    <row r="155" spans="1:10" ht="14.9" customHeight="1">
      <c r="A155" s="173">
        <v>2.3319999999999999</v>
      </c>
      <c r="B155" s="174" t="s">
        <v>1663</v>
      </c>
      <c r="C155" s="174" t="s">
        <v>1664</v>
      </c>
      <c r="D155" s="175">
        <v>1</v>
      </c>
      <c r="E155" s="175">
        <v>78</v>
      </c>
      <c r="F155" s="175">
        <v>818</v>
      </c>
      <c r="G155" s="176">
        <f t="shared" si="4"/>
        <v>7.2464371200000004</v>
      </c>
      <c r="H155" s="176">
        <f t="shared" si="5"/>
        <v>23.163180845999999</v>
      </c>
      <c r="I155" s="177" t="s">
        <v>1492</v>
      </c>
      <c r="J155" s="178"/>
    </row>
    <row r="156" spans="1:10" ht="14.9" customHeight="1">
      <c r="A156" s="173">
        <v>2.3319999999999999</v>
      </c>
      <c r="B156" s="174" t="s">
        <v>1065</v>
      </c>
      <c r="C156" s="174" t="s">
        <v>1665</v>
      </c>
      <c r="D156" s="175">
        <v>2</v>
      </c>
      <c r="E156" s="175">
        <v>80</v>
      </c>
      <c r="F156" s="175">
        <v>807</v>
      </c>
      <c r="G156" s="176">
        <f t="shared" si="4"/>
        <v>7.4322432000000003</v>
      </c>
      <c r="H156" s="176">
        <f t="shared" si="5"/>
        <v>22.851695529000001</v>
      </c>
      <c r="I156" s="177" t="s">
        <v>1492</v>
      </c>
      <c r="J156" s="178"/>
    </row>
    <row r="157" spans="1:10" ht="14.9" customHeight="1">
      <c r="A157" s="173">
        <v>2.3410000000000002</v>
      </c>
      <c r="B157" s="174" t="s">
        <v>1666</v>
      </c>
      <c r="C157" s="174" t="s">
        <v>1667</v>
      </c>
      <c r="D157" s="175">
        <v>1</v>
      </c>
      <c r="E157" s="175">
        <v>26</v>
      </c>
      <c r="F157" s="175">
        <v>210</v>
      </c>
      <c r="G157" s="176">
        <f t="shared" si="4"/>
        <v>2.4154790400000001</v>
      </c>
      <c r="H157" s="176">
        <f t="shared" si="5"/>
        <v>5.9465378700000002</v>
      </c>
      <c r="I157" s="177" t="s">
        <v>1492</v>
      </c>
      <c r="J157" s="178"/>
    </row>
    <row r="158" spans="1:10" ht="14.9" customHeight="1">
      <c r="A158" s="173">
        <v>2.3410000000000002</v>
      </c>
      <c r="B158" s="174" t="s">
        <v>1056</v>
      </c>
      <c r="C158" s="174" t="s">
        <v>1668</v>
      </c>
      <c r="D158" s="175">
        <v>2</v>
      </c>
      <c r="E158" s="175">
        <v>36</v>
      </c>
      <c r="F158" s="175">
        <v>403</v>
      </c>
      <c r="G158" s="176">
        <f t="shared" si="4"/>
        <v>3.3445094400000004</v>
      </c>
      <c r="H158" s="176">
        <f t="shared" si="5"/>
        <v>11.411689340999999</v>
      </c>
      <c r="I158" s="177" t="s">
        <v>1492</v>
      </c>
      <c r="J158" s="178"/>
    </row>
    <row r="159" spans="1:10" ht="14.9" customHeight="1">
      <c r="A159" s="179">
        <v>2.41</v>
      </c>
      <c r="B159" s="180" t="s">
        <v>1669</v>
      </c>
      <c r="C159" s="180" t="s">
        <v>1670</v>
      </c>
      <c r="D159" s="181" t="s">
        <v>1510</v>
      </c>
      <c r="E159" s="182">
        <v>363</v>
      </c>
      <c r="F159" s="182">
        <v>3442</v>
      </c>
      <c r="G159" s="176">
        <f t="shared" si="4"/>
        <v>33.723803520000004</v>
      </c>
      <c r="H159" s="176">
        <f t="shared" si="5"/>
        <v>97.466587373999999</v>
      </c>
      <c r="I159" s="177" t="s">
        <v>1492</v>
      </c>
      <c r="J159" s="178"/>
    </row>
    <row r="160" spans="1:10" ht="14.9" customHeight="1">
      <c r="A160" s="173">
        <v>2.41</v>
      </c>
      <c r="B160" s="174" t="s">
        <v>1671</v>
      </c>
      <c r="C160" s="174" t="s">
        <v>220</v>
      </c>
      <c r="D160" s="175">
        <v>1</v>
      </c>
      <c r="E160" s="175">
        <v>135</v>
      </c>
      <c r="F160" s="175">
        <v>1242</v>
      </c>
      <c r="G160" s="176">
        <f t="shared" si="4"/>
        <v>12.541910400000001</v>
      </c>
      <c r="H160" s="176">
        <f t="shared" si="5"/>
        <v>35.169523974000001</v>
      </c>
      <c r="I160" s="177" t="s">
        <v>1503</v>
      </c>
      <c r="J160" s="178" t="s">
        <v>1672</v>
      </c>
    </row>
    <row r="161" spans="1:11" ht="14.9" customHeight="1">
      <c r="A161" s="173">
        <v>2.42</v>
      </c>
      <c r="B161" s="174" t="s">
        <v>1044</v>
      </c>
      <c r="C161" s="174" t="s">
        <v>223</v>
      </c>
      <c r="D161" s="175">
        <v>2</v>
      </c>
      <c r="E161" s="175">
        <v>590</v>
      </c>
      <c r="F161" s="175">
        <v>5410</v>
      </c>
      <c r="G161" s="176">
        <f t="shared" si="4"/>
        <v>54.812793600000006</v>
      </c>
      <c r="H161" s="176">
        <f t="shared" si="5"/>
        <v>153.19414226999999</v>
      </c>
      <c r="I161" s="177" t="s">
        <v>1492</v>
      </c>
      <c r="J161" s="178"/>
    </row>
    <row r="162" spans="1:11" ht="14.9" customHeight="1">
      <c r="A162" s="173">
        <v>2.44</v>
      </c>
      <c r="B162" s="174" t="s">
        <v>1038</v>
      </c>
      <c r="C162" s="174" t="s">
        <v>225</v>
      </c>
      <c r="D162" s="175">
        <v>3</v>
      </c>
      <c r="E162" s="175">
        <v>58</v>
      </c>
      <c r="F162" s="175">
        <v>498</v>
      </c>
      <c r="G162" s="176">
        <f t="shared" si="4"/>
        <v>5.3883763200000008</v>
      </c>
      <c r="H162" s="176">
        <f t="shared" si="5"/>
        <v>14.101789805999999</v>
      </c>
      <c r="I162" s="177" t="s">
        <v>1492</v>
      </c>
      <c r="J162" s="178"/>
    </row>
    <row r="163" spans="1:11" ht="14.9" customHeight="1">
      <c r="A163" s="173">
        <v>2.46</v>
      </c>
      <c r="B163" s="174" t="s">
        <v>1035</v>
      </c>
      <c r="C163" s="174" t="s">
        <v>226</v>
      </c>
      <c r="D163" s="175">
        <v>1</v>
      </c>
      <c r="E163" s="175">
        <v>95</v>
      </c>
      <c r="F163" s="175">
        <v>860</v>
      </c>
      <c r="G163" s="176">
        <f t="shared" si="4"/>
        <v>8.8257887999999998</v>
      </c>
      <c r="H163" s="176">
        <f t="shared" si="5"/>
        <v>24.35248842</v>
      </c>
      <c r="I163" s="177" t="s">
        <v>1492</v>
      </c>
      <c r="J163" s="178"/>
    </row>
    <row r="164" spans="1:11" ht="14.9" customHeight="1">
      <c r="A164" s="173">
        <v>2.5099999999999998</v>
      </c>
      <c r="B164" s="174" t="s">
        <v>1031</v>
      </c>
      <c r="C164" s="180" t="s">
        <v>1673</v>
      </c>
      <c r="D164" s="181" t="s">
        <v>1544</v>
      </c>
      <c r="E164" s="182">
        <v>50</v>
      </c>
      <c r="F164" s="182">
        <v>359</v>
      </c>
      <c r="G164" s="176">
        <f t="shared" si="4"/>
        <v>4.6451520000000004</v>
      </c>
      <c r="H164" s="176">
        <f t="shared" si="5"/>
        <v>10.165748073</v>
      </c>
      <c r="I164" s="177" t="s">
        <v>1492</v>
      </c>
      <c r="J164" s="178"/>
    </row>
    <row r="165" spans="1:11" ht="14.9" customHeight="1">
      <c r="A165" s="173">
        <v>2.5099999999999998</v>
      </c>
      <c r="B165" s="174" t="s">
        <v>1674</v>
      </c>
      <c r="C165" s="174" t="s">
        <v>1675</v>
      </c>
      <c r="D165" s="175">
        <v>3</v>
      </c>
      <c r="E165" s="175">
        <v>85</v>
      </c>
      <c r="F165" s="175">
        <v>1144</v>
      </c>
      <c r="G165" s="176">
        <f t="shared" si="4"/>
        <v>7.8967584000000004</v>
      </c>
      <c r="H165" s="176">
        <f t="shared" si="5"/>
        <v>32.394472968000002</v>
      </c>
      <c r="I165" s="177" t="s">
        <v>1492</v>
      </c>
      <c r="J165" s="178"/>
    </row>
    <row r="166" spans="1:11" ht="14.9" customHeight="1">
      <c r="A166" s="173">
        <v>2.5099999999999998</v>
      </c>
      <c r="B166" s="174" t="s">
        <v>1676</v>
      </c>
      <c r="C166" s="174" t="s">
        <v>1677</v>
      </c>
      <c r="D166" s="175">
        <v>3</v>
      </c>
      <c r="E166" s="175">
        <v>85</v>
      </c>
      <c r="F166" s="175">
        <v>1144</v>
      </c>
      <c r="G166" s="176">
        <f t="shared" si="4"/>
        <v>7.8967584000000004</v>
      </c>
      <c r="H166" s="176">
        <f t="shared" si="5"/>
        <v>32.394472968000002</v>
      </c>
      <c r="I166" s="177" t="s">
        <v>1492</v>
      </c>
      <c r="J166" s="178"/>
    </row>
    <row r="167" spans="1:11" ht="14.9" customHeight="1">
      <c r="A167" s="173">
        <v>2.5099999999999998</v>
      </c>
      <c r="B167" s="174" t="s">
        <v>1127</v>
      </c>
      <c r="C167" s="174" t="s">
        <v>1678</v>
      </c>
      <c r="D167" s="175">
        <v>3</v>
      </c>
      <c r="E167" s="175">
        <v>84</v>
      </c>
      <c r="F167" s="175">
        <v>721</v>
      </c>
      <c r="G167" s="176">
        <f t="shared" si="4"/>
        <v>7.8038553600000009</v>
      </c>
      <c r="H167" s="176">
        <f t="shared" si="5"/>
        <v>20.416446687000001</v>
      </c>
      <c r="I167" s="177" t="s">
        <v>1492</v>
      </c>
      <c r="J167" s="178"/>
    </row>
    <row r="168" spans="1:11" ht="14.9" customHeight="1">
      <c r="A168" s="173">
        <v>2.52</v>
      </c>
      <c r="B168" s="174" t="s">
        <v>1020</v>
      </c>
      <c r="C168" s="180" t="s">
        <v>1679</v>
      </c>
      <c r="D168" s="181" t="s">
        <v>1544</v>
      </c>
      <c r="E168" s="182">
        <v>12</v>
      </c>
      <c r="F168" s="182">
        <v>98</v>
      </c>
      <c r="G168" s="176">
        <f t="shared" si="4"/>
        <v>1.1148364800000001</v>
      </c>
      <c r="H168" s="176">
        <f t="shared" si="5"/>
        <v>2.775051006</v>
      </c>
      <c r="I168" s="177" t="s">
        <v>1492</v>
      </c>
      <c r="J168" s="178"/>
    </row>
    <row r="169" spans="1:11" ht="14.9" customHeight="1">
      <c r="A169" s="173">
        <v>2.52</v>
      </c>
      <c r="B169" s="174" t="s">
        <v>813</v>
      </c>
      <c r="C169" s="174" t="s">
        <v>1680</v>
      </c>
      <c r="D169" s="175">
        <v>1</v>
      </c>
      <c r="E169" s="175">
        <v>9</v>
      </c>
      <c r="F169" s="175">
        <v>84</v>
      </c>
      <c r="G169" s="176">
        <f t="shared" si="4"/>
        <v>0.8361273600000001</v>
      </c>
      <c r="H169" s="176">
        <f t="shared" si="5"/>
        <v>2.3786151479999997</v>
      </c>
      <c r="I169" s="177" t="s">
        <v>1492</v>
      </c>
      <c r="J169" s="178"/>
    </row>
    <row r="170" spans="1:11" ht="14.9" customHeight="1">
      <c r="A170" s="173">
        <v>2.52</v>
      </c>
      <c r="B170" s="174" t="s">
        <v>1681</v>
      </c>
      <c r="C170" s="174" t="s">
        <v>1682</v>
      </c>
      <c r="D170" s="175">
        <v>1</v>
      </c>
      <c r="E170" s="175">
        <v>67</v>
      </c>
      <c r="F170" s="175">
        <v>696</v>
      </c>
      <c r="G170" s="176">
        <f t="shared" si="4"/>
        <v>6.2245036800000006</v>
      </c>
      <c r="H170" s="176">
        <f t="shared" si="5"/>
        <v>19.708525511999998</v>
      </c>
      <c r="I170" s="177" t="s">
        <v>1503</v>
      </c>
      <c r="J170" s="178" t="s">
        <v>1683</v>
      </c>
    </row>
    <row r="171" spans="1:11" ht="14.9" customHeight="1">
      <c r="A171" s="179">
        <v>2.5499999999999998</v>
      </c>
      <c r="B171" s="180" t="s">
        <v>1017</v>
      </c>
      <c r="C171" s="180" t="s">
        <v>233</v>
      </c>
      <c r="D171" s="181" t="s">
        <v>1494</v>
      </c>
      <c r="E171" s="182">
        <v>30</v>
      </c>
      <c r="F171" s="182">
        <v>255</v>
      </c>
      <c r="G171" s="176">
        <f t="shared" si="4"/>
        <v>2.7870912000000003</v>
      </c>
      <c r="H171" s="176">
        <f t="shared" si="5"/>
        <v>7.2207959849999996</v>
      </c>
      <c r="I171" s="177" t="s">
        <v>1492</v>
      </c>
      <c r="J171" s="178"/>
    </row>
    <row r="172" spans="1:11" ht="14.9" customHeight="1">
      <c r="A172" s="179">
        <v>2.5499999999999998</v>
      </c>
      <c r="B172" s="180" t="s">
        <v>1016</v>
      </c>
      <c r="C172" s="180" t="s">
        <v>233</v>
      </c>
      <c r="D172" s="181" t="s">
        <v>1494</v>
      </c>
      <c r="E172" s="182">
        <v>48</v>
      </c>
      <c r="F172" s="182">
        <v>408</v>
      </c>
      <c r="G172" s="176">
        <f t="shared" si="4"/>
        <v>4.4593459200000005</v>
      </c>
      <c r="H172" s="176">
        <f t="shared" si="5"/>
        <v>11.553273576</v>
      </c>
      <c r="I172" s="177" t="s">
        <v>1492</v>
      </c>
      <c r="J172" s="178"/>
    </row>
    <row r="173" spans="1:11" ht="14.9" customHeight="1">
      <c r="A173" s="179">
        <v>2.5499999999999998</v>
      </c>
      <c r="B173" s="180" t="s">
        <v>1684</v>
      </c>
      <c r="C173" s="180" t="s">
        <v>233</v>
      </c>
      <c r="D173" s="181" t="s">
        <v>1498</v>
      </c>
      <c r="E173" s="182">
        <v>27</v>
      </c>
      <c r="F173" s="182">
        <v>331</v>
      </c>
      <c r="G173" s="176">
        <f t="shared" si="4"/>
        <v>2.5083820800000001</v>
      </c>
      <c r="H173" s="176">
        <f t="shared" si="5"/>
        <v>9.3728763569999991</v>
      </c>
      <c r="I173" s="177" t="s">
        <v>1492</v>
      </c>
      <c r="J173" s="178"/>
      <c r="K173" s="187"/>
    </row>
    <row r="174" spans="1:11" ht="14.9" customHeight="1">
      <c r="A174" s="179">
        <v>2.5499999999999998</v>
      </c>
      <c r="B174" s="180" t="s">
        <v>1685</v>
      </c>
      <c r="C174" s="180" t="s">
        <v>233</v>
      </c>
      <c r="D174" s="181" t="s">
        <v>1498</v>
      </c>
      <c r="E174" s="182">
        <v>27</v>
      </c>
      <c r="F174" s="182">
        <v>331</v>
      </c>
      <c r="G174" s="176">
        <f t="shared" si="4"/>
        <v>2.5083820800000001</v>
      </c>
      <c r="H174" s="176">
        <f t="shared" si="5"/>
        <v>9.3728763569999991</v>
      </c>
      <c r="I174" s="177" t="s">
        <v>1492</v>
      </c>
      <c r="J174" s="178"/>
      <c r="K174" s="188"/>
    </row>
    <row r="175" spans="1:11" ht="14.9" customHeight="1">
      <c r="A175" s="173">
        <v>2.56</v>
      </c>
      <c r="B175" s="174" t="s">
        <v>1013</v>
      </c>
      <c r="C175" s="180" t="s">
        <v>1686</v>
      </c>
      <c r="D175" s="181" t="s">
        <v>1544</v>
      </c>
      <c r="E175" s="182">
        <v>12</v>
      </c>
      <c r="F175" s="182">
        <v>98</v>
      </c>
      <c r="G175" s="176">
        <f t="shared" si="4"/>
        <v>1.1148364800000001</v>
      </c>
      <c r="H175" s="176">
        <f t="shared" si="5"/>
        <v>2.775051006</v>
      </c>
      <c r="I175" s="177" t="s">
        <v>1492</v>
      </c>
      <c r="J175" s="178"/>
      <c r="K175" s="188"/>
    </row>
    <row r="176" spans="1:11" ht="14.9" customHeight="1">
      <c r="A176" s="173">
        <v>2.56</v>
      </c>
      <c r="B176" s="174" t="s">
        <v>1687</v>
      </c>
      <c r="C176" s="174" t="s">
        <v>1686</v>
      </c>
      <c r="D176" s="183" t="s">
        <v>1507</v>
      </c>
      <c r="E176" s="182">
        <v>12</v>
      </c>
      <c r="F176" s="182">
        <v>114</v>
      </c>
      <c r="G176" s="176">
        <f t="shared" si="4"/>
        <v>1.1148364800000001</v>
      </c>
      <c r="H176" s="176">
        <f t="shared" si="5"/>
        <v>3.2281205580000001</v>
      </c>
      <c r="I176" s="177" t="s">
        <v>1492</v>
      </c>
      <c r="J176" s="178"/>
      <c r="K176" s="188"/>
    </row>
    <row r="177" spans="1:10" ht="14.9" customHeight="1">
      <c r="A177" s="173">
        <v>2.56</v>
      </c>
      <c r="B177" s="174" t="s">
        <v>1688</v>
      </c>
      <c r="C177" s="174" t="s">
        <v>1686</v>
      </c>
      <c r="D177" s="175">
        <v>2</v>
      </c>
      <c r="E177" s="175">
        <v>9</v>
      </c>
      <c r="F177" s="175">
        <v>84</v>
      </c>
      <c r="G177" s="176">
        <f t="shared" si="4"/>
        <v>0.8361273600000001</v>
      </c>
      <c r="H177" s="176">
        <f t="shared" si="5"/>
        <v>2.3786151479999997</v>
      </c>
      <c r="I177" s="177" t="s">
        <v>1492</v>
      </c>
      <c r="J177" s="178"/>
    </row>
    <row r="178" spans="1:10" ht="14.9" customHeight="1">
      <c r="A178" s="173">
        <v>2.61</v>
      </c>
      <c r="B178" s="174" t="s">
        <v>1003</v>
      </c>
      <c r="C178" s="174" t="s">
        <v>1689</v>
      </c>
      <c r="D178" s="183" t="s">
        <v>1507</v>
      </c>
      <c r="E178" s="182">
        <v>63</v>
      </c>
      <c r="F178" s="182">
        <v>357</v>
      </c>
      <c r="G178" s="176">
        <f t="shared" si="4"/>
        <v>5.85289152</v>
      </c>
      <c r="H178" s="176">
        <f t="shared" si="5"/>
        <v>10.109114378999999</v>
      </c>
      <c r="I178" s="177" t="s">
        <v>1492</v>
      </c>
      <c r="J178" s="178"/>
    </row>
    <row r="179" spans="1:10" ht="14.9" customHeight="1">
      <c r="A179" s="173">
        <v>2.61</v>
      </c>
      <c r="B179" s="174" t="s">
        <v>998</v>
      </c>
      <c r="C179" s="174" t="s">
        <v>1690</v>
      </c>
      <c r="D179" s="183" t="s">
        <v>1507</v>
      </c>
      <c r="E179" s="182">
        <v>18</v>
      </c>
      <c r="F179" s="182">
        <v>141</v>
      </c>
      <c r="G179" s="176">
        <f t="shared" si="4"/>
        <v>1.6722547200000002</v>
      </c>
      <c r="H179" s="176">
        <f t="shared" si="5"/>
        <v>3.992675427</v>
      </c>
      <c r="I179" s="177" t="s">
        <v>1492</v>
      </c>
      <c r="J179" s="178"/>
    </row>
    <row r="180" spans="1:10" ht="14.9" customHeight="1">
      <c r="A180" s="173">
        <v>2.61</v>
      </c>
      <c r="B180" s="174" t="s">
        <v>993</v>
      </c>
      <c r="C180" s="174" t="s">
        <v>1691</v>
      </c>
      <c r="D180" s="183" t="s">
        <v>1507</v>
      </c>
      <c r="E180" s="182">
        <v>18</v>
      </c>
      <c r="F180" s="182">
        <v>141</v>
      </c>
      <c r="G180" s="176">
        <f t="shared" si="4"/>
        <v>1.6722547200000002</v>
      </c>
      <c r="H180" s="176">
        <f t="shared" si="5"/>
        <v>3.992675427</v>
      </c>
      <c r="I180" s="177" t="s">
        <v>1492</v>
      </c>
      <c r="J180" s="178"/>
    </row>
    <row r="181" spans="1:10" ht="14.9" customHeight="1">
      <c r="A181" s="173">
        <v>2.61</v>
      </c>
      <c r="B181" s="174" t="s">
        <v>1009</v>
      </c>
      <c r="C181" s="174" t="s">
        <v>1692</v>
      </c>
      <c r="D181" s="183" t="s">
        <v>1507</v>
      </c>
      <c r="E181" s="182">
        <v>48</v>
      </c>
      <c r="F181" s="182">
        <v>408</v>
      </c>
      <c r="G181" s="176">
        <f t="shared" si="4"/>
        <v>4.4593459200000005</v>
      </c>
      <c r="H181" s="176">
        <f t="shared" si="5"/>
        <v>11.553273576</v>
      </c>
      <c r="I181" s="177" t="s">
        <v>1492</v>
      </c>
      <c r="J181" s="178"/>
    </row>
    <row r="182" spans="1:10" ht="14.9" customHeight="1">
      <c r="A182" s="173">
        <v>2.61</v>
      </c>
      <c r="B182" s="174" t="s">
        <v>1060</v>
      </c>
      <c r="C182" s="174" t="s">
        <v>1693</v>
      </c>
      <c r="D182" s="183" t="s">
        <v>1507</v>
      </c>
      <c r="E182" s="182">
        <v>9</v>
      </c>
      <c r="F182" s="182">
        <v>76</v>
      </c>
      <c r="G182" s="176">
        <f t="shared" si="4"/>
        <v>0.8361273600000001</v>
      </c>
      <c r="H182" s="176">
        <f t="shared" si="5"/>
        <v>2.1520803719999999</v>
      </c>
      <c r="I182" s="177" t="s">
        <v>1492</v>
      </c>
      <c r="J182" s="178"/>
    </row>
    <row r="183" spans="1:10" ht="14.9" customHeight="1">
      <c r="A183" s="173">
        <v>2.61</v>
      </c>
      <c r="B183" s="174" t="s">
        <v>991</v>
      </c>
      <c r="C183" s="174" t="s">
        <v>1694</v>
      </c>
      <c r="D183" s="175">
        <v>1</v>
      </c>
      <c r="E183" s="175">
        <v>18</v>
      </c>
      <c r="F183" s="175">
        <v>167</v>
      </c>
      <c r="G183" s="176">
        <f t="shared" si="4"/>
        <v>1.6722547200000002</v>
      </c>
      <c r="H183" s="176">
        <f t="shared" si="5"/>
        <v>4.7289134490000002</v>
      </c>
      <c r="I183" s="177" t="s">
        <v>1492</v>
      </c>
      <c r="J183" s="178"/>
    </row>
    <row r="184" spans="1:10" ht="14.9" customHeight="1">
      <c r="A184" s="173">
        <v>2.61</v>
      </c>
      <c r="B184" s="174" t="s">
        <v>996</v>
      </c>
      <c r="C184" s="174" t="s">
        <v>1695</v>
      </c>
      <c r="D184" s="175">
        <v>1</v>
      </c>
      <c r="E184" s="175">
        <v>14</v>
      </c>
      <c r="F184" s="175">
        <v>130</v>
      </c>
      <c r="G184" s="176">
        <f t="shared" si="4"/>
        <v>1.30064256</v>
      </c>
      <c r="H184" s="176">
        <f t="shared" si="5"/>
        <v>3.6811901099999997</v>
      </c>
      <c r="I184" s="177" t="s">
        <v>1492</v>
      </c>
      <c r="J184" s="178"/>
    </row>
    <row r="185" spans="1:10" ht="14.9" customHeight="1">
      <c r="A185" s="173">
        <v>2.61</v>
      </c>
      <c r="B185" s="174" t="s">
        <v>1001</v>
      </c>
      <c r="C185" s="174" t="s">
        <v>1696</v>
      </c>
      <c r="D185" s="175">
        <v>1</v>
      </c>
      <c r="E185" s="175">
        <v>19</v>
      </c>
      <c r="F185" s="175">
        <v>170</v>
      </c>
      <c r="G185" s="176">
        <f t="shared" si="4"/>
        <v>1.7651577600000001</v>
      </c>
      <c r="H185" s="176">
        <f t="shared" si="5"/>
        <v>4.8138639899999998</v>
      </c>
      <c r="I185" s="177" t="s">
        <v>1492</v>
      </c>
      <c r="J185" s="178"/>
    </row>
    <row r="186" spans="1:10" ht="14.9" customHeight="1">
      <c r="A186" s="173">
        <v>2.61</v>
      </c>
      <c r="B186" s="174" t="s">
        <v>1006</v>
      </c>
      <c r="C186" s="174" t="s">
        <v>1697</v>
      </c>
      <c r="D186" s="175">
        <v>1</v>
      </c>
      <c r="E186" s="175">
        <v>51</v>
      </c>
      <c r="F186" s="175">
        <v>466</v>
      </c>
      <c r="G186" s="176">
        <f t="shared" si="4"/>
        <v>4.7380550399999999</v>
      </c>
      <c r="H186" s="176">
        <f t="shared" si="5"/>
        <v>13.195650702</v>
      </c>
      <c r="I186" s="177" t="s">
        <v>1492</v>
      </c>
      <c r="J186" s="178"/>
    </row>
    <row r="187" spans="1:10" ht="14.9" customHeight="1">
      <c r="A187" s="186">
        <v>2.62</v>
      </c>
      <c r="B187" s="174" t="s">
        <v>985</v>
      </c>
      <c r="C187" s="174" t="s">
        <v>1698</v>
      </c>
      <c r="D187" s="183" t="s">
        <v>1507</v>
      </c>
      <c r="E187" s="175">
        <v>84</v>
      </c>
      <c r="F187" s="175">
        <v>627</v>
      </c>
      <c r="G187" s="176">
        <f t="shared" si="4"/>
        <v>7.8038553600000009</v>
      </c>
      <c r="H187" s="176">
        <f t="shared" si="5"/>
        <v>17.754663068999999</v>
      </c>
      <c r="I187" s="177"/>
      <c r="J187" s="178"/>
    </row>
    <row r="188" spans="1:10" ht="14.9" customHeight="1">
      <c r="A188" s="173">
        <v>2.62</v>
      </c>
      <c r="B188" s="174" t="s">
        <v>988</v>
      </c>
      <c r="C188" s="174" t="s">
        <v>1699</v>
      </c>
      <c r="D188" s="175">
        <v>4</v>
      </c>
      <c r="E188" s="175">
        <v>510</v>
      </c>
      <c r="F188" s="175">
        <v>3644</v>
      </c>
      <c r="G188" s="176">
        <f t="shared" si="4"/>
        <v>47.380550400000004</v>
      </c>
      <c r="H188" s="176">
        <f t="shared" si="5"/>
        <v>103.18659046799999</v>
      </c>
      <c r="I188" s="177" t="s">
        <v>1492</v>
      </c>
      <c r="J188" s="178"/>
    </row>
    <row r="189" spans="1:10" ht="14.9" customHeight="1">
      <c r="A189" s="179">
        <v>2.63</v>
      </c>
      <c r="B189" s="180" t="s">
        <v>960</v>
      </c>
      <c r="C189" s="180" t="s">
        <v>1700</v>
      </c>
      <c r="D189" s="181" t="s">
        <v>1494</v>
      </c>
      <c r="E189" s="182">
        <v>16</v>
      </c>
      <c r="F189" s="182">
        <v>136</v>
      </c>
      <c r="G189" s="176">
        <f t="shared" si="4"/>
        <v>1.4864486400000001</v>
      </c>
      <c r="H189" s="176">
        <f t="shared" si="5"/>
        <v>3.8510911919999997</v>
      </c>
      <c r="I189" s="177" t="s">
        <v>1492</v>
      </c>
      <c r="J189" s="178"/>
    </row>
    <row r="190" spans="1:10" ht="14.9" customHeight="1">
      <c r="A190" s="179">
        <v>2.63</v>
      </c>
      <c r="B190" s="180" t="s">
        <v>972</v>
      </c>
      <c r="C190" s="180" t="s">
        <v>1701</v>
      </c>
      <c r="D190" s="181" t="s">
        <v>1494</v>
      </c>
      <c r="E190" s="182">
        <v>15</v>
      </c>
      <c r="F190" s="182">
        <v>128</v>
      </c>
      <c r="G190" s="176">
        <f t="shared" si="4"/>
        <v>1.3935456000000002</v>
      </c>
      <c r="H190" s="176">
        <f t="shared" si="5"/>
        <v>3.6245564159999999</v>
      </c>
      <c r="I190" s="177" t="s">
        <v>1492</v>
      </c>
      <c r="J190" s="178"/>
    </row>
    <row r="191" spans="1:10" ht="14.9" customHeight="1">
      <c r="A191" s="179">
        <v>2.63</v>
      </c>
      <c r="B191" s="180" t="s">
        <v>959</v>
      </c>
      <c r="C191" s="180" t="s">
        <v>1700</v>
      </c>
      <c r="D191" s="181" t="s">
        <v>1498</v>
      </c>
      <c r="E191" s="182">
        <v>14</v>
      </c>
      <c r="F191" s="182">
        <v>173</v>
      </c>
      <c r="G191" s="176">
        <f t="shared" si="4"/>
        <v>1.30064256</v>
      </c>
      <c r="H191" s="176">
        <f t="shared" si="5"/>
        <v>4.8988145310000002</v>
      </c>
      <c r="I191" s="177" t="s">
        <v>1492</v>
      </c>
      <c r="J191" s="178"/>
    </row>
    <row r="192" spans="1:10" ht="14.9" customHeight="1">
      <c r="A192" s="173">
        <v>2.63</v>
      </c>
      <c r="B192" s="174" t="s">
        <v>982</v>
      </c>
      <c r="C192" s="174" t="s">
        <v>1702</v>
      </c>
      <c r="D192" s="183" t="s">
        <v>1507</v>
      </c>
      <c r="E192" s="182">
        <v>24</v>
      </c>
      <c r="F192" s="182">
        <v>204</v>
      </c>
      <c r="G192" s="176">
        <f t="shared" si="4"/>
        <v>2.2296729600000003</v>
      </c>
      <c r="H192" s="176">
        <f t="shared" si="5"/>
        <v>5.7766367880000002</v>
      </c>
      <c r="I192" s="177" t="s">
        <v>1492</v>
      </c>
      <c r="J192" s="178"/>
    </row>
    <row r="193" spans="1:10" ht="14.9" customHeight="1">
      <c r="A193" s="173">
        <v>2.63</v>
      </c>
      <c r="B193" s="174" t="s">
        <v>971</v>
      </c>
      <c r="C193" s="174" t="s">
        <v>1701</v>
      </c>
      <c r="D193" s="183" t="s">
        <v>1507</v>
      </c>
      <c r="E193" s="182">
        <v>16</v>
      </c>
      <c r="F193" s="182">
        <v>136</v>
      </c>
      <c r="G193" s="176">
        <f t="shared" si="4"/>
        <v>1.4864486400000001</v>
      </c>
      <c r="H193" s="176">
        <f t="shared" si="5"/>
        <v>3.8510911919999997</v>
      </c>
      <c r="I193" s="177" t="s">
        <v>1492</v>
      </c>
      <c r="J193" s="178"/>
    </row>
    <row r="194" spans="1:10" ht="14.9" customHeight="1">
      <c r="A194" s="173">
        <v>2.63</v>
      </c>
      <c r="B194" s="174" t="s">
        <v>1703</v>
      </c>
      <c r="C194" s="174" t="s">
        <v>1704</v>
      </c>
      <c r="D194" s="183" t="s">
        <v>1507</v>
      </c>
      <c r="E194" s="182">
        <v>26</v>
      </c>
      <c r="F194" s="182">
        <v>216</v>
      </c>
      <c r="G194" s="176">
        <f t="shared" si="4"/>
        <v>2.4154790400000001</v>
      </c>
      <c r="H194" s="176">
        <f t="shared" si="5"/>
        <v>6.1164389520000002</v>
      </c>
      <c r="I194" s="177" t="s">
        <v>1503</v>
      </c>
      <c r="J194" s="178" t="s">
        <v>1613</v>
      </c>
    </row>
    <row r="195" spans="1:10" ht="14.9" customHeight="1">
      <c r="A195" s="173">
        <v>2.63</v>
      </c>
      <c r="B195" s="174" t="s">
        <v>1175</v>
      </c>
      <c r="C195" s="174" t="s">
        <v>1704</v>
      </c>
      <c r="D195" s="183" t="s">
        <v>1507</v>
      </c>
      <c r="E195" s="182">
        <v>28</v>
      </c>
      <c r="F195" s="182">
        <v>275</v>
      </c>
      <c r="G195" s="176">
        <f t="shared" si="4"/>
        <v>2.60128512</v>
      </c>
      <c r="H195" s="176">
        <f t="shared" si="5"/>
        <v>7.7871329249999999</v>
      </c>
      <c r="I195" s="177" t="s">
        <v>1492</v>
      </c>
      <c r="J195" s="178"/>
    </row>
    <row r="196" spans="1:10" ht="14.9" customHeight="1">
      <c r="A196" s="173">
        <v>2.63</v>
      </c>
      <c r="B196" s="174" t="s">
        <v>958</v>
      </c>
      <c r="C196" s="174" t="s">
        <v>1700</v>
      </c>
      <c r="D196" s="175">
        <v>1</v>
      </c>
      <c r="E196" s="175">
        <v>15</v>
      </c>
      <c r="F196" s="175">
        <v>101</v>
      </c>
      <c r="G196" s="176">
        <f t="shared" si="4"/>
        <v>1.3935456000000002</v>
      </c>
      <c r="H196" s="176">
        <f t="shared" si="5"/>
        <v>2.860001547</v>
      </c>
      <c r="I196" s="177" t="s">
        <v>1492</v>
      </c>
      <c r="J196" s="178"/>
    </row>
    <row r="197" spans="1:10" ht="14.9" customHeight="1">
      <c r="A197" s="173">
        <v>2.63</v>
      </c>
      <c r="B197" s="174" t="s">
        <v>978</v>
      </c>
      <c r="C197" s="174" t="s">
        <v>1704</v>
      </c>
      <c r="D197" s="175">
        <v>1</v>
      </c>
      <c r="E197" s="175">
        <v>15</v>
      </c>
      <c r="F197" s="175">
        <v>101</v>
      </c>
      <c r="G197" s="176">
        <f t="shared" ref="G197:G260" si="6">E197*0.09290304</f>
        <v>1.3935456000000002</v>
      </c>
      <c r="H197" s="176">
        <f t="shared" ref="H197:H260" si="7">F197*0.028316847</f>
        <v>2.860001547</v>
      </c>
      <c r="I197" s="177" t="s">
        <v>1492</v>
      </c>
      <c r="J197" s="178"/>
    </row>
    <row r="198" spans="1:10" ht="14.9" customHeight="1">
      <c r="A198" s="173">
        <v>2.63</v>
      </c>
      <c r="B198" s="174" t="s">
        <v>957</v>
      </c>
      <c r="C198" s="174" t="s">
        <v>1700</v>
      </c>
      <c r="D198" s="175">
        <v>1</v>
      </c>
      <c r="E198" s="175">
        <v>15</v>
      </c>
      <c r="F198" s="175">
        <v>112</v>
      </c>
      <c r="G198" s="176">
        <f t="shared" si="6"/>
        <v>1.3935456000000002</v>
      </c>
      <c r="H198" s="176">
        <f t="shared" si="7"/>
        <v>3.1714868639999998</v>
      </c>
      <c r="I198" s="177" t="s">
        <v>1492</v>
      </c>
      <c r="J198" s="178"/>
    </row>
    <row r="199" spans="1:10" ht="14.9" customHeight="1">
      <c r="A199" s="173">
        <v>2.63</v>
      </c>
      <c r="B199" s="174" t="s">
        <v>977</v>
      </c>
      <c r="C199" s="174" t="s">
        <v>1704</v>
      </c>
      <c r="D199" s="175">
        <v>1</v>
      </c>
      <c r="E199" s="175">
        <v>15</v>
      </c>
      <c r="F199" s="175">
        <v>112</v>
      </c>
      <c r="G199" s="176">
        <f t="shared" si="6"/>
        <v>1.3935456000000002</v>
      </c>
      <c r="H199" s="176">
        <f t="shared" si="7"/>
        <v>3.1714868639999998</v>
      </c>
      <c r="I199" s="177" t="s">
        <v>1492</v>
      </c>
      <c r="J199" s="178"/>
    </row>
    <row r="200" spans="1:10" ht="14.9" customHeight="1">
      <c r="A200" s="173">
        <v>2.63</v>
      </c>
      <c r="B200" s="174" t="s">
        <v>968</v>
      </c>
      <c r="C200" s="174" t="s">
        <v>1705</v>
      </c>
      <c r="D200" s="175">
        <v>1</v>
      </c>
      <c r="E200" s="175">
        <v>18</v>
      </c>
      <c r="F200" s="175">
        <v>163</v>
      </c>
      <c r="G200" s="176">
        <f t="shared" si="6"/>
        <v>1.6722547200000002</v>
      </c>
      <c r="H200" s="176">
        <f t="shared" si="7"/>
        <v>4.6156460609999996</v>
      </c>
      <c r="I200" s="177" t="s">
        <v>1492</v>
      </c>
      <c r="J200" s="178"/>
    </row>
    <row r="201" spans="1:10" ht="14.9" customHeight="1">
      <c r="A201" s="173">
        <v>2.63</v>
      </c>
      <c r="B201" s="174" t="s">
        <v>976</v>
      </c>
      <c r="C201" s="174" t="s">
        <v>1704</v>
      </c>
      <c r="D201" s="175">
        <v>1</v>
      </c>
      <c r="E201" s="175">
        <v>39</v>
      </c>
      <c r="F201" s="175">
        <v>351</v>
      </c>
      <c r="G201" s="176">
        <f t="shared" si="6"/>
        <v>3.6232185600000002</v>
      </c>
      <c r="H201" s="176">
        <f t="shared" si="7"/>
        <v>9.9392132970000002</v>
      </c>
      <c r="I201" s="177" t="s">
        <v>1492</v>
      </c>
      <c r="J201" s="178"/>
    </row>
    <row r="202" spans="1:10" ht="14.9" customHeight="1">
      <c r="A202" s="173">
        <v>2.63</v>
      </c>
      <c r="B202" s="174" t="s">
        <v>967</v>
      </c>
      <c r="C202" s="174" t="s">
        <v>1706</v>
      </c>
      <c r="D202" s="175">
        <v>1</v>
      </c>
      <c r="E202" s="175">
        <v>14</v>
      </c>
      <c r="F202" s="175">
        <v>126</v>
      </c>
      <c r="G202" s="176">
        <f t="shared" si="6"/>
        <v>1.30064256</v>
      </c>
      <c r="H202" s="176">
        <f t="shared" si="7"/>
        <v>3.567922722</v>
      </c>
      <c r="I202" s="177" t="s">
        <v>1492</v>
      </c>
      <c r="J202" s="178"/>
    </row>
    <row r="203" spans="1:10" ht="14.9" customHeight="1">
      <c r="A203" s="173">
        <v>2.63</v>
      </c>
      <c r="B203" s="174" t="s">
        <v>966</v>
      </c>
      <c r="C203" s="174" t="s">
        <v>1705</v>
      </c>
      <c r="D203" s="175">
        <v>2</v>
      </c>
      <c r="E203" s="175">
        <v>16</v>
      </c>
      <c r="F203" s="175">
        <v>147</v>
      </c>
      <c r="G203" s="176">
        <f t="shared" si="6"/>
        <v>1.4864486400000001</v>
      </c>
      <c r="H203" s="176">
        <f t="shared" si="7"/>
        <v>4.162576509</v>
      </c>
      <c r="I203" s="177" t="s">
        <v>1492</v>
      </c>
      <c r="J203" s="178"/>
    </row>
    <row r="204" spans="1:10" ht="14.9" customHeight="1">
      <c r="A204" s="173">
        <v>2.63</v>
      </c>
      <c r="B204" s="174" t="s">
        <v>965</v>
      </c>
      <c r="C204" s="174" t="s">
        <v>1705</v>
      </c>
      <c r="D204" s="175">
        <v>2</v>
      </c>
      <c r="E204" s="175">
        <v>18</v>
      </c>
      <c r="F204" s="175">
        <v>171</v>
      </c>
      <c r="G204" s="176">
        <f t="shared" si="6"/>
        <v>1.6722547200000002</v>
      </c>
      <c r="H204" s="176">
        <f t="shared" si="7"/>
        <v>4.8421808369999999</v>
      </c>
      <c r="I204" s="177" t="s">
        <v>1492</v>
      </c>
      <c r="J204" s="178"/>
    </row>
    <row r="205" spans="1:10" ht="14.9" customHeight="1">
      <c r="A205" s="173">
        <v>2.63</v>
      </c>
      <c r="B205" s="174" t="s">
        <v>975</v>
      </c>
      <c r="C205" s="174" t="s">
        <v>1704</v>
      </c>
      <c r="D205" s="175">
        <v>2</v>
      </c>
      <c r="E205" s="175">
        <v>18</v>
      </c>
      <c r="F205" s="175">
        <v>171</v>
      </c>
      <c r="G205" s="176">
        <f t="shared" si="6"/>
        <v>1.6722547200000002</v>
      </c>
      <c r="H205" s="176">
        <f t="shared" si="7"/>
        <v>4.8421808369999999</v>
      </c>
      <c r="I205" s="177" t="s">
        <v>1492</v>
      </c>
      <c r="J205" s="178"/>
    </row>
    <row r="206" spans="1:10" ht="14.9" customHeight="1">
      <c r="A206" s="173">
        <v>2.63</v>
      </c>
      <c r="B206" s="174" t="s">
        <v>964</v>
      </c>
      <c r="C206" s="174" t="s">
        <v>1707</v>
      </c>
      <c r="D206" s="175">
        <v>3</v>
      </c>
      <c r="E206" s="175">
        <v>15</v>
      </c>
      <c r="F206" s="175">
        <v>101</v>
      </c>
      <c r="G206" s="176">
        <f t="shared" si="6"/>
        <v>1.3935456000000002</v>
      </c>
      <c r="H206" s="176">
        <f t="shared" si="7"/>
        <v>2.860001547</v>
      </c>
      <c r="I206" s="177" t="s">
        <v>1492</v>
      </c>
      <c r="J206" s="178"/>
    </row>
    <row r="207" spans="1:10" ht="14.9" customHeight="1">
      <c r="A207" s="173">
        <v>2.63</v>
      </c>
      <c r="B207" s="174" t="s">
        <v>963</v>
      </c>
      <c r="C207" s="174" t="s">
        <v>1705</v>
      </c>
      <c r="D207" s="175">
        <v>3</v>
      </c>
      <c r="E207" s="175">
        <v>16</v>
      </c>
      <c r="F207" s="175">
        <v>13</v>
      </c>
      <c r="G207" s="176">
        <f t="shared" si="6"/>
        <v>1.4864486400000001</v>
      </c>
      <c r="H207" s="176">
        <f t="shared" si="7"/>
        <v>0.368119011</v>
      </c>
      <c r="I207" s="177" t="s">
        <v>1492</v>
      </c>
      <c r="J207" s="178"/>
    </row>
    <row r="208" spans="1:10" ht="14.9" customHeight="1">
      <c r="A208" s="173">
        <v>3.11</v>
      </c>
      <c r="B208" s="174" t="s">
        <v>951</v>
      </c>
      <c r="C208" s="174" t="s">
        <v>1708</v>
      </c>
      <c r="D208" s="175">
        <v>4</v>
      </c>
      <c r="E208" s="175">
        <v>970</v>
      </c>
      <c r="F208" s="175">
        <v>10130</v>
      </c>
      <c r="G208" s="176">
        <f t="shared" si="6"/>
        <v>90.115948800000012</v>
      </c>
      <c r="H208" s="176">
        <f t="shared" si="7"/>
        <v>286.84966011</v>
      </c>
      <c r="I208" s="177" t="s">
        <v>1492</v>
      </c>
      <c r="J208" s="178"/>
    </row>
    <row r="209" spans="1:10" ht="14.9" customHeight="1">
      <c r="A209" s="173">
        <v>3.21</v>
      </c>
      <c r="B209" s="174" t="s">
        <v>482</v>
      </c>
      <c r="C209" s="174" t="s">
        <v>1709</v>
      </c>
      <c r="D209" s="175">
        <v>1</v>
      </c>
      <c r="E209" s="175">
        <v>558</v>
      </c>
      <c r="F209" s="175">
        <v>5142</v>
      </c>
      <c r="G209" s="176">
        <f t="shared" si="6"/>
        <v>51.839896320000001</v>
      </c>
      <c r="H209" s="176">
        <f t="shared" si="7"/>
        <v>145.60522727399999</v>
      </c>
      <c r="I209" s="177" t="s">
        <v>1492</v>
      </c>
      <c r="J209" s="178"/>
    </row>
    <row r="210" spans="1:10" ht="14.9" customHeight="1">
      <c r="A210" s="173">
        <v>3.22</v>
      </c>
      <c r="B210" s="174" t="s">
        <v>1710</v>
      </c>
      <c r="C210" s="174" t="s">
        <v>1711</v>
      </c>
      <c r="D210" s="175">
        <v>1</v>
      </c>
      <c r="E210" s="175">
        <v>166</v>
      </c>
      <c r="F210" s="175">
        <v>1883</v>
      </c>
      <c r="G210" s="176">
        <f t="shared" si="6"/>
        <v>15.421904640000001</v>
      </c>
      <c r="H210" s="176">
        <f t="shared" si="7"/>
        <v>53.320622901</v>
      </c>
      <c r="I210" s="184" t="s">
        <v>1492</v>
      </c>
      <c r="J210" s="185"/>
    </row>
    <row r="211" spans="1:10" ht="14.9" customHeight="1">
      <c r="A211" s="173">
        <v>3.22</v>
      </c>
      <c r="B211" s="174" t="s">
        <v>1712</v>
      </c>
      <c r="C211" s="174" t="s">
        <v>1713</v>
      </c>
      <c r="D211" s="175">
        <v>1</v>
      </c>
      <c r="E211" s="175">
        <v>117</v>
      </c>
      <c r="F211" s="175">
        <v>1071</v>
      </c>
      <c r="G211" s="176">
        <f t="shared" si="6"/>
        <v>10.869655680000001</v>
      </c>
      <c r="H211" s="176">
        <f t="shared" si="7"/>
        <v>30.327343137</v>
      </c>
      <c r="I211" s="177" t="s">
        <v>1492</v>
      </c>
      <c r="J211" s="178"/>
    </row>
    <row r="212" spans="1:10" ht="14.9" customHeight="1">
      <c r="A212" s="173">
        <v>3.22</v>
      </c>
      <c r="B212" s="174" t="s">
        <v>938</v>
      </c>
      <c r="C212" s="174" t="s">
        <v>1714</v>
      </c>
      <c r="D212" s="175">
        <v>1</v>
      </c>
      <c r="E212" s="175">
        <v>148</v>
      </c>
      <c r="F212" s="175">
        <v>1354</v>
      </c>
      <c r="G212" s="176">
        <f t="shared" si="6"/>
        <v>13.749649920000001</v>
      </c>
      <c r="H212" s="176">
        <f t="shared" si="7"/>
        <v>38.341010837999995</v>
      </c>
      <c r="I212" s="177" t="s">
        <v>1492</v>
      </c>
      <c r="J212" s="178"/>
    </row>
    <row r="213" spans="1:10" ht="14.9" customHeight="1">
      <c r="A213" s="173">
        <v>3.22</v>
      </c>
      <c r="B213" s="174" t="s">
        <v>941</v>
      </c>
      <c r="C213" s="174" t="s">
        <v>1715</v>
      </c>
      <c r="D213" s="175">
        <v>1</v>
      </c>
      <c r="E213" s="175">
        <v>40</v>
      </c>
      <c r="F213" s="175">
        <v>360</v>
      </c>
      <c r="G213" s="176">
        <f t="shared" si="6"/>
        <v>3.7161216000000001</v>
      </c>
      <c r="H213" s="176">
        <f t="shared" si="7"/>
        <v>10.194064919999999</v>
      </c>
      <c r="I213" s="177" t="s">
        <v>1492</v>
      </c>
      <c r="J213" s="178"/>
    </row>
    <row r="214" spans="1:10" ht="14.9" customHeight="1">
      <c r="A214" s="173">
        <v>3.22</v>
      </c>
      <c r="B214" s="174" t="s">
        <v>935</v>
      </c>
      <c r="C214" s="174" t="s">
        <v>1716</v>
      </c>
      <c r="D214" s="175">
        <v>2</v>
      </c>
      <c r="E214" s="175">
        <v>150</v>
      </c>
      <c r="F214" s="175">
        <v>1531</v>
      </c>
      <c r="G214" s="176">
        <f t="shared" si="6"/>
        <v>13.935456</v>
      </c>
      <c r="H214" s="176">
        <f t="shared" si="7"/>
        <v>43.353092756999999</v>
      </c>
      <c r="I214" s="177" t="s">
        <v>1492</v>
      </c>
      <c r="J214" s="178"/>
    </row>
    <row r="215" spans="1:10" ht="14.9" customHeight="1">
      <c r="A215" s="173">
        <v>3.2509999999999999</v>
      </c>
      <c r="B215" s="174" t="s">
        <v>1717</v>
      </c>
      <c r="C215" s="174" t="s">
        <v>1718</v>
      </c>
      <c r="D215" s="175">
        <v>1</v>
      </c>
      <c r="E215" s="175">
        <v>120</v>
      </c>
      <c r="F215" s="175">
        <v>1617</v>
      </c>
      <c r="G215" s="176">
        <f t="shared" si="6"/>
        <v>11.148364800000001</v>
      </c>
      <c r="H215" s="176">
        <f t="shared" si="7"/>
        <v>45.788341598999999</v>
      </c>
      <c r="I215" s="177" t="s">
        <v>1492</v>
      </c>
      <c r="J215" s="178"/>
    </row>
    <row r="216" spans="1:10" ht="14.9" customHeight="1">
      <c r="A216" s="173">
        <v>3.2509999999999999</v>
      </c>
      <c r="B216" s="174" t="s">
        <v>917</v>
      </c>
      <c r="C216" s="174" t="s">
        <v>1719</v>
      </c>
      <c r="D216" s="175">
        <v>1</v>
      </c>
      <c r="E216" s="175">
        <v>111</v>
      </c>
      <c r="F216" s="175">
        <v>1022</v>
      </c>
      <c r="G216" s="176">
        <f t="shared" si="6"/>
        <v>10.312237440000001</v>
      </c>
      <c r="H216" s="176">
        <f t="shared" si="7"/>
        <v>28.939817634000001</v>
      </c>
      <c r="I216" s="177" t="s">
        <v>1492</v>
      </c>
      <c r="J216" s="178"/>
    </row>
    <row r="217" spans="1:10" ht="14.9" customHeight="1">
      <c r="A217" s="173">
        <v>3.2530000000000001</v>
      </c>
      <c r="B217" s="174" t="s">
        <v>1720</v>
      </c>
      <c r="C217" s="174" t="s">
        <v>1721</v>
      </c>
      <c r="D217" s="175">
        <v>1</v>
      </c>
      <c r="E217" s="175">
        <v>115</v>
      </c>
      <c r="F217" s="175">
        <v>1073</v>
      </c>
      <c r="G217" s="176">
        <f t="shared" si="6"/>
        <v>10.6838496</v>
      </c>
      <c r="H217" s="176">
        <f t="shared" si="7"/>
        <v>30.383976830999998</v>
      </c>
      <c r="I217" s="177" t="s">
        <v>1492</v>
      </c>
      <c r="J217" s="178"/>
    </row>
    <row r="218" spans="1:10" ht="14.9" customHeight="1">
      <c r="A218" s="173">
        <v>3.2530000000000001</v>
      </c>
      <c r="B218" s="174" t="s">
        <v>1722</v>
      </c>
      <c r="C218" s="174" t="s">
        <v>1723</v>
      </c>
      <c r="D218" s="175">
        <v>1</v>
      </c>
      <c r="E218" s="175">
        <v>115</v>
      </c>
      <c r="F218" s="175">
        <v>1043</v>
      </c>
      <c r="G218" s="176">
        <f t="shared" si="6"/>
        <v>10.6838496</v>
      </c>
      <c r="H218" s="176">
        <f t="shared" si="7"/>
        <v>29.534471420999999</v>
      </c>
      <c r="I218" s="177" t="s">
        <v>1492</v>
      </c>
      <c r="J218" s="178"/>
    </row>
    <row r="219" spans="1:10" ht="14.9" customHeight="1">
      <c r="A219" s="173">
        <v>3.3010000000000002</v>
      </c>
      <c r="B219" s="174" t="s">
        <v>1724</v>
      </c>
      <c r="C219" s="174" t="s">
        <v>1725</v>
      </c>
      <c r="D219" s="175">
        <v>1</v>
      </c>
      <c r="E219" s="175">
        <v>196</v>
      </c>
      <c r="F219" s="175">
        <v>3363</v>
      </c>
      <c r="G219" s="176">
        <f t="shared" si="6"/>
        <v>18.20899584</v>
      </c>
      <c r="H219" s="176">
        <f t="shared" si="7"/>
        <v>95.229556461000001</v>
      </c>
      <c r="I219" s="177" t="s">
        <v>1492</v>
      </c>
      <c r="J219" s="178"/>
    </row>
    <row r="220" spans="1:10" ht="14.9" customHeight="1">
      <c r="A220" s="173">
        <v>3.3010000000000002</v>
      </c>
      <c r="B220" s="174" t="s">
        <v>1726</v>
      </c>
      <c r="C220" s="174" t="s">
        <v>1727</v>
      </c>
      <c r="D220" s="175">
        <v>1</v>
      </c>
      <c r="E220" s="175">
        <v>91</v>
      </c>
      <c r="F220" s="175">
        <v>1138</v>
      </c>
      <c r="G220" s="176">
        <f t="shared" si="6"/>
        <v>8.45417664</v>
      </c>
      <c r="H220" s="176">
        <f t="shared" si="7"/>
        <v>32.224571886</v>
      </c>
      <c r="I220" s="177" t="s">
        <v>1503</v>
      </c>
      <c r="J220" s="178" t="s">
        <v>1672</v>
      </c>
    </row>
    <row r="221" spans="1:10" ht="14.9" customHeight="1">
      <c r="A221" s="173">
        <v>3.302</v>
      </c>
      <c r="B221" s="174" t="s">
        <v>1728</v>
      </c>
      <c r="C221" s="174" t="s">
        <v>1729</v>
      </c>
      <c r="D221" s="183" t="s">
        <v>1507</v>
      </c>
      <c r="E221" s="182">
        <v>26</v>
      </c>
      <c r="F221" s="182">
        <v>240</v>
      </c>
      <c r="G221" s="176">
        <f t="shared" si="6"/>
        <v>2.4154790400000001</v>
      </c>
      <c r="H221" s="176">
        <f t="shared" si="7"/>
        <v>6.7960432800000001</v>
      </c>
      <c r="I221" s="177" t="s">
        <v>1503</v>
      </c>
      <c r="J221" s="178" t="s">
        <v>1583</v>
      </c>
    </row>
    <row r="222" spans="1:10" ht="14.9" customHeight="1">
      <c r="A222" s="173">
        <v>3.302</v>
      </c>
      <c r="B222" s="174" t="s">
        <v>1730</v>
      </c>
      <c r="C222" s="174" t="s">
        <v>1731</v>
      </c>
      <c r="D222" s="175">
        <v>2</v>
      </c>
      <c r="E222" s="175">
        <v>40</v>
      </c>
      <c r="F222" s="175">
        <v>440</v>
      </c>
      <c r="G222" s="176">
        <f t="shared" si="6"/>
        <v>3.7161216000000001</v>
      </c>
      <c r="H222" s="176">
        <f t="shared" si="7"/>
        <v>12.45941268</v>
      </c>
      <c r="I222" s="177" t="s">
        <v>1503</v>
      </c>
      <c r="J222" s="178" t="s">
        <v>1683</v>
      </c>
    </row>
    <row r="223" spans="1:10" ht="14.9" customHeight="1">
      <c r="A223" s="179">
        <v>3.3029999999999999</v>
      </c>
      <c r="B223" s="180" t="s">
        <v>1732</v>
      </c>
      <c r="C223" s="180" t="s">
        <v>1733</v>
      </c>
      <c r="D223" s="181" t="s">
        <v>1510</v>
      </c>
      <c r="E223" s="182">
        <v>85</v>
      </c>
      <c r="F223" s="182">
        <v>655</v>
      </c>
      <c r="G223" s="176">
        <f t="shared" si="6"/>
        <v>7.8967584000000004</v>
      </c>
      <c r="H223" s="176">
        <f t="shared" si="7"/>
        <v>18.547534785</v>
      </c>
      <c r="I223" s="177" t="s">
        <v>1492</v>
      </c>
      <c r="J223" s="178"/>
    </row>
    <row r="224" spans="1:10" ht="14.9" customHeight="1">
      <c r="A224" s="173">
        <v>3.3029999999999999</v>
      </c>
      <c r="B224" s="174" t="s">
        <v>902</v>
      </c>
      <c r="C224" s="174" t="s">
        <v>1734</v>
      </c>
      <c r="D224" s="175">
        <v>1</v>
      </c>
      <c r="E224" s="175">
        <v>280</v>
      </c>
      <c r="F224" s="175">
        <v>2561</v>
      </c>
      <c r="G224" s="176">
        <f t="shared" si="6"/>
        <v>26.0128512</v>
      </c>
      <c r="H224" s="176">
        <f t="shared" si="7"/>
        <v>72.519445167000001</v>
      </c>
      <c r="I224" s="177" t="s">
        <v>1492</v>
      </c>
      <c r="J224" s="178"/>
    </row>
    <row r="225" spans="1:10" ht="14.9" customHeight="1">
      <c r="A225" s="173">
        <v>3.3039999999999998</v>
      </c>
      <c r="B225" s="174" t="s">
        <v>1735</v>
      </c>
      <c r="C225" s="174" t="s">
        <v>1736</v>
      </c>
      <c r="D225" s="175">
        <v>1</v>
      </c>
      <c r="E225" s="175">
        <v>106</v>
      </c>
      <c r="F225" s="175">
        <v>1203</v>
      </c>
      <c r="G225" s="176">
        <f t="shared" si="6"/>
        <v>9.8477222400000013</v>
      </c>
      <c r="H225" s="176">
        <f t="shared" si="7"/>
        <v>34.065166941000001</v>
      </c>
      <c r="I225" s="184" t="s">
        <v>1503</v>
      </c>
      <c r="J225" s="185" t="s">
        <v>1672</v>
      </c>
    </row>
    <row r="226" spans="1:10" ht="14.9" customHeight="1">
      <c r="A226" s="173">
        <v>3.3039999999999998</v>
      </c>
      <c r="B226" s="174" t="s">
        <v>904</v>
      </c>
      <c r="C226" s="174" t="s">
        <v>1737</v>
      </c>
      <c r="D226" s="175">
        <v>1</v>
      </c>
      <c r="E226" s="175">
        <v>59</v>
      </c>
      <c r="F226" s="175">
        <v>536</v>
      </c>
      <c r="G226" s="176">
        <f t="shared" si="6"/>
        <v>5.4812793600000003</v>
      </c>
      <c r="H226" s="176">
        <f t="shared" si="7"/>
        <v>15.177829991999999</v>
      </c>
      <c r="I226" s="177" t="s">
        <v>1492</v>
      </c>
      <c r="J226" s="178"/>
    </row>
    <row r="227" spans="1:10" ht="14.9" customHeight="1">
      <c r="A227" s="173">
        <v>3.3039999999999998</v>
      </c>
      <c r="B227" s="174" t="s">
        <v>894</v>
      </c>
      <c r="C227" s="174" t="s">
        <v>1738</v>
      </c>
      <c r="D227" s="175">
        <v>1</v>
      </c>
      <c r="E227" s="175">
        <v>165</v>
      </c>
      <c r="F227" s="175">
        <v>1483</v>
      </c>
      <c r="G227" s="176">
        <f t="shared" si="6"/>
        <v>15.329001600000002</v>
      </c>
      <c r="H227" s="176">
        <f t="shared" si="7"/>
        <v>41.993884100999999</v>
      </c>
      <c r="I227" s="177" t="s">
        <v>1492</v>
      </c>
      <c r="J227" s="178"/>
    </row>
    <row r="228" spans="1:10" ht="14.9" customHeight="1">
      <c r="A228" s="173">
        <v>3.3039999999999998</v>
      </c>
      <c r="B228" s="174" t="s">
        <v>886</v>
      </c>
      <c r="C228" s="174" t="s">
        <v>1739</v>
      </c>
      <c r="D228" s="175">
        <v>2</v>
      </c>
      <c r="E228" s="175">
        <v>75</v>
      </c>
      <c r="F228" s="175">
        <v>688</v>
      </c>
      <c r="G228" s="176">
        <f t="shared" si="6"/>
        <v>6.9677280000000001</v>
      </c>
      <c r="H228" s="176">
        <f t="shared" si="7"/>
        <v>19.481990736</v>
      </c>
      <c r="I228" s="177" t="s">
        <v>1492</v>
      </c>
      <c r="J228" s="178"/>
    </row>
    <row r="229" spans="1:10" ht="14.9" customHeight="1">
      <c r="A229" s="173">
        <v>3.3039999999999998</v>
      </c>
      <c r="B229" s="174" t="s">
        <v>889</v>
      </c>
      <c r="C229" s="174" t="s">
        <v>1740</v>
      </c>
      <c r="D229" s="175">
        <v>3</v>
      </c>
      <c r="E229" s="175">
        <v>290</v>
      </c>
      <c r="F229" s="175">
        <v>2558</v>
      </c>
      <c r="G229" s="176">
        <f t="shared" si="6"/>
        <v>26.941881600000002</v>
      </c>
      <c r="H229" s="176">
        <f t="shared" si="7"/>
        <v>72.434494626000003</v>
      </c>
      <c r="I229" s="177" t="s">
        <v>1492</v>
      </c>
      <c r="J229" s="178"/>
    </row>
    <row r="230" spans="1:10" ht="14.9" customHeight="1">
      <c r="A230" s="173">
        <v>3.3050000000000002</v>
      </c>
      <c r="B230" s="174" t="s">
        <v>883</v>
      </c>
      <c r="C230" s="174" t="s">
        <v>1741</v>
      </c>
      <c r="D230" s="183" t="s">
        <v>1507</v>
      </c>
      <c r="E230" s="182">
        <v>21</v>
      </c>
      <c r="F230" s="182">
        <v>221</v>
      </c>
      <c r="G230" s="176">
        <f t="shared" si="6"/>
        <v>1.9509638400000002</v>
      </c>
      <c r="H230" s="176">
        <f t="shared" si="7"/>
        <v>6.258023187</v>
      </c>
      <c r="I230" s="177" t="s">
        <v>1492</v>
      </c>
      <c r="J230" s="178"/>
    </row>
    <row r="231" spans="1:10" ht="14.9" customHeight="1">
      <c r="A231" s="173">
        <v>3.3050000000000002</v>
      </c>
      <c r="B231" s="174" t="s">
        <v>881</v>
      </c>
      <c r="C231" s="174" t="s">
        <v>1742</v>
      </c>
      <c r="D231" s="183" t="s">
        <v>1507</v>
      </c>
      <c r="E231" s="182">
        <v>10</v>
      </c>
      <c r="F231" s="182">
        <v>87</v>
      </c>
      <c r="G231" s="176">
        <f t="shared" si="6"/>
        <v>0.92903040000000003</v>
      </c>
      <c r="H231" s="176">
        <f t="shared" si="7"/>
        <v>2.4635656889999997</v>
      </c>
      <c r="I231" s="177" t="s">
        <v>1492</v>
      </c>
      <c r="J231" s="178"/>
    </row>
    <row r="232" spans="1:10" ht="14.9" customHeight="1">
      <c r="A232" s="173">
        <v>3.3050000000000002</v>
      </c>
      <c r="B232" s="174" t="s">
        <v>1743</v>
      </c>
      <c r="C232" s="174" t="s">
        <v>1744</v>
      </c>
      <c r="D232" s="175">
        <v>1</v>
      </c>
      <c r="E232" s="175">
        <v>19</v>
      </c>
      <c r="F232" s="175">
        <v>176</v>
      </c>
      <c r="G232" s="176">
        <f t="shared" si="6"/>
        <v>1.7651577600000001</v>
      </c>
      <c r="H232" s="176">
        <f t="shared" si="7"/>
        <v>4.9837650719999997</v>
      </c>
      <c r="I232" s="177" t="s">
        <v>1503</v>
      </c>
      <c r="J232" s="178" t="s">
        <v>1583</v>
      </c>
    </row>
    <row r="233" spans="1:10" ht="14.9" customHeight="1">
      <c r="A233" s="173">
        <v>3.306</v>
      </c>
      <c r="B233" s="174" t="s">
        <v>1745</v>
      </c>
      <c r="C233" s="174" t="s">
        <v>1746</v>
      </c>
      <c r="D233" s="175">
        <v>1</v>
      </c>
      <c r="E233" s="175">
        <v>40</v>
      </c>
      <c r="F233" s="175">
        <v>373</v>
      </c>
      <c r="G233" s="176">
        <f t="shared" si="6"/>
        <v>3.7161216000000001</v>
      </c>
      <c r="H233" s="176">
        <f t="shared" si="7"/>
        <v>10.562183931</v>
      </c>
      <c r="I233" s="177" t="s">
        <v>1503</v>
      </c>
      <c r="J233" s="178" t="s">
        <v>1583</v>
      </c>
    </row>
    <row r="234" spans="1:10" ht="14.9" customHeight="1">
      <c r="A234" s="173">
        <v>3.3069999999999999</v>
      </c>
      <c r="B234" s="174" t="s">
        <v>1447</v>
      </c>
      <c r="C234" s="174" t="s">
        <v>1747</v>
      </c>
      <c r="D234" s="183" t="s">
        <v>1507</v>
      </c>
      <c r="E234" s="182">
        <v>92</v>
      </c>
      <c r="F234" s="182">
        <v>719</v>
      </c>
      <c r="G234" s="176">
        <f t="shared" si="6"/>
        <v>8.5470796800000013</v>
      </c>
      <c r="H234" s="176">
        <f t="shared" si="7"/>
        <v>20.359812992999998</v>
      </c>
      <c r="I234" s="177" t="s">
        <v>1492</v>
      </c>
      <c r="J234" s="178"/>
    </row>
    <row r="235" spans="1:10" ht="14.9" customHeight="1">
      <c r="A235" s="173">
        <v>3.3069999999999999</v>
      </c>
      <c r="B235" s="174" t="s">
        <v>1449</v>
      </c>
      <c r="C235" s="174" t="s">
        <v>1748</v>
      </c>
      <c r="D235" s="183" t="s">
        <v>1507</v>
      </c>
      <c r="E235" s="182">
        <v>483</v>
      </c>
      <c r="F235" s="175">
        <v>4106</v>
      </c>
      <c r="G235" s="176">
        <f t="shared" si="6"/>
        <v>44.87216832</v>
      </c>
      <c r="H235" s="176">
        <f t="shared" si="7"/>
        <v>116.268973782</v>
      </c>
      <c r="I235" s="177" t="s">
        <v>1492</v>
      </c>
      <c r="J235" s="178"/>
    </row>
    <row r="236" spans="1:10" ht="14.9" customHeight="1">
      <c r="A236" s="173">
        <v>3.3069999999999999</v>
      </c>
      <c r="B236" s="174" t="s">
        <v>914</v>
      </c>
      <c r="C236" s="174" t="s">
        <v>1749</v>
      </c>
      <c r="D236" s="175">
        <v>1</v>
      </c>
      <c r="E236" s="175">
        <v>88</v>
      </c>
      <c r="F236" s="175">
        <v>822</v>
      </c>
      <c r="G236" s="176">
        <f t="shared" si="6"/>
        <v>8.1754675199999998</v>
      </c>
      <c r="H236" s="176">
        <f t="shared" si="7"/>
        <v>23.276448234</v>
      </c>
      <c r="I236" s="177" t="s">
        <v>1492</v>
      </c>
      <c r="J236" s="178" t="s">
        <v>1683</v>
      </c>
    </row>
    <row r="237" spans="1:10" ht="14.9" customHeight="1">
      <c r="A237" s="179">
        <v>3.51</v>
      </c>
      <c r="B237" s="180" t="s">
        <v>1750</v>
      </c>
      <c r="C237" s="180" t="s">
        <v>1751</v>
      </c>
      <c r="D237" s="181" t="s">
        <v>1510</v>
      </c>
      <c r="E237" s="182">
        <v>311</v>
      </c>
      <c r="F237" s="182">
        <v>4448</v>
      </c>
      <c r="G237" s="176">
        <f t="shared" si="6"/>
        <v>28.892845440000002</v>
      </c>
      <c r="H237" s="176">
        <f t="shared" si="7"/>
        <v>125.95333545599999</v>
      </c>
      <c r="I237" s="177" t="s">
        <v>1492</v>
      </c>
      <c r="J237" s="178"/>
    </row>
    <row r="238" spans="1:10" ht="14.9" customHeight="1">
      <c r="A238" s="173">
        <v>3.51</v>
      </c>
      <c r="B238" s="174" t="s">
        <v>1752</v>
      </c>
      <c r="C238" s="174" t="s">
        <v>1753</v>
      </c>
      <c r="D238" s="175">
        <v>3</v>
      </c>
      <c r="E238" s="175">
        <v>36</v>
      </c>
      <c r="F238" s="175">
        <v>1402</v>
      </c>
      <c r="G238" s="176">
        <f t="shared" si="6"/>
        <v>3.3445094400000004</v>
      </c>
      <c r="H238" s="176">
        <f t="shared" si="7"/>
        <v>39.700219493999995</v>
      </c>
      <c r="I238" s="177" t="s">
        <v>1492</v>
      </c>
      <c r="J238" s="178"/>
    </row>
    <row r="239" spans="1:10" ht="14.9" customHeight="1">
      <c r="A239" s="173">
        <v>3.51</v>
      </c>
      <c r="B239" s="174" t="s">
        <v>1754</v>
      </c>
      <c r="C239" s="174" t="s">
        <v>1753</v>
      </c>
      <c r="D239" s="175">
        <v>3</v>
      </c>
      <c r="E239" s="175">
        <v>36</v>
      </c>
      <c r="F239" s="175">
        <v>1402</v>
      </c>
      <c r="G239" s="176">
        <f t="shared" si="6"/>
        <v>3.3445094400000004</v>
      </c>
      <c r="H239" s="176">
        <f t="shared" si="7"/>
        <v>39.700219493999995</v>
      </c>
      <c r="I239" s="177" t="s">
        <v>1492</v>
      </c>
      <c r="J239" s="178"/>
    </row>
    <row r="240" spans="1:10" ht="14.9" customHeight="1">
      <c r="A240" s="173">
        <v>3.51</v>
      </c>
      <c r="B240" s="174" t="s">
        <v>1755</v>
      </c>
      <c r="C240" s="174" t="s">
        <v>1756</v>
      </c>
      <c r="D240" s="175">
        <v>3</v>
      </c>
      <c r="E240" s="175">
        <v>20</v>
      </c>
      <c r="F240" s="175">
        <v>314</v>
      </c>
      <c r="G240" s="176">
        <f t="shared" si="6"/>
        <v>1.8580608000000001</v>
      </c>
      <c r="H240" s="176">
        <f t="shared" si="7"/>
        <v>8.8914899579999993</v>
      </c>
      <c r="I240" s="177" t="s">
        <v>1492</v>
      </c>
      <c r="J240" s="178"/>
    </row>
    <row r="241" spans="1:10" ht="14.9" customHeight="1">
      <c r="A241" s="173">
        <v>3.53</v>
      </c>
      <c r="B241" s="174" t="s">
        <v>862</v>
      </c>
      <c r="C241" s="174" t="s">
        <v>1757</v>
      </c>
      <c r="D241" s="183" t="s">
        <v>1507</v>
      </c>
      <c r="E241" s="182">
        <v>70</v>
      </c>
      <c r="F241" s="182">
        <v>633</v>
      </c>
      <c r="G241" s="176">
        <f t="shared" si="6"/>
        <v>6.5032128</v>
      </c>
      <c r="H241" s="176">
        <f t="shared" si="7"/>
        <v>17.924564150999998</v>
      </c>
      <c r="I241" s="177" t="s">
        <v>1492</v>
      </c>
      <c r="J241" s="178"/>
    </row>
    <row r="242" spans="1:10" ht="14.9" customHeight="1">
      <c r="A242" s="173">
        <v>3.53</v>
      </c>
      <c r="B242" s="174" t="s">
        <v>1758</v>
      </c>
      <c r="C242" s="174" t="s">
        <v>1759</v>
      </c>
      <c r="D242" s="175">
        <v>2</v>
      </c>
      <c r="E242" s="175">
        <v>6</v>
      </c>
      <c r="F242" s="175">
        <v>156</v>
      </c>
      <c r="G242" s="176">
        <f t="shared" si="6"/>
        <v>0.55741824000000006</v>
      </c>
      <c r="H242" s="176">
        <f t="shared" si="7"/>
        <v>4.4174281319999995</v>
      </c>
      <c r="I242" s="177" t="s">
        <v>1492</v>
      </c>
      <c r="J242" s="178"/>
    </row>
    <row r="243" spans="1:10" ht="14.9" customHeight="1">
      <c r="A243" s="173">
        <v>3.6110000000000002</v>
      </c>
      <c r="B243" s="174" t="s">
        <v>858</v>
      </c>
      <c r="C243" s="174" t="s">
        <v>1760</v>
      </c>
      <c r="D243" s="183" t="s">
        <v>1507</v>
      </c>
      <c r="E243" s="182">
        <v>184</v>
      </c>
      <c r="F243" s="182">
        <v>1917</v>
      </c>
      <c r="G243" s="176">
        <f t="shared" si="6"/>
        <v>17.094159360000003</v>
      </c>
      <c r="H243" s="176">
        <f t="shared" si="7"/>
        <v>54.283395698999996</v>
      </c>
      <c r="I243" s="177" t="s">
        <v>1492</v>
      </c>
      <c r="J243" s="178"/>
    </row>
    <row r="244" spans="1:10" ht="14.9" customHeight="1">
      <c r="A244" s="173">
        <v>3.6120000000000001</v>
      </c>
      <c r="B244" s="174" t="s">
        <v>413</v>
      </c>
      <c r="C244" s="174" t="s">
        <v>1761</v>
      </c>
      <c r="D244" s="175">
        <v>2</v>
      </c>
      <c r="E244" s="175">
        <v>163</v>
      </c>
      <c r="F244" s="175">
        <v>1745</v>
      </c>
      <c r="G244" s="176">
        <f t="shared" si="6"/>
        <v>15.143195520000001</v>
      </c>
      <c r="H244" s="176">
        <f t="shared" si="7"/>
        <v>49.412898014999996</v>
      </c>
      <c r="I244" s="177" t="s">
        <v>1492</v>
      </c>
      <c r="J244" s="178"/>
    </row>
    <row r="245" spans="1:10" ht="14.9" customHeight="1">
      <c r="A245" s="173">
        <v>3.6120000000000001</v>
      </c>
      <c r="B245" s="174" t="s">
        <v>1762</v>
      </c>
      <c r="C245" s="174" t="s">
        <v>1763</v>
      </c>
      <c r="D245" s="175">
        <v>2</v>
      </c>
      <c r="E245" s="175">
        <v>102</v>
      </c>
      <c r="F245" s="175">
        <v>1065</v>
      </c>
      <c r="G245" s="176">
        <f t="shared" si="6"/>
        <v>9.4761100799999998</v>
      </c>
      <c r="H245" s="176">
        <f t="shared" si="7"/>
        <v>30.157442055000001</v>
      </c>
      <c r="I245" s="177" t="s">
        <v>1503</v>
      </c>
      <c r="J245" s="178" t="s">
        <v>1764</v>
      </c>
    </row>
    <row r="246" spans="1:10" ht="14.9" customHeight="1">
      <c r="A246" s="173">
        <v>3.613</v>
      </c>
      <c r="B246" s="174" t="s">
        <v>847</v>
      </c>
      <c r="C246" s="174" t="s">
        <v>1765</v>
      </c>
      <c r="D246" s="175">
        <v>2</v>
      </c>
      <c r="E246" s="175">
        <v>503</v>
      </c>
      <c r="F246" s="175">
        <v>4802</v>
      </c>
      <c r="G246" s="176">
        <f t="shared" si="6"/>
        <v>46.730229120000004</v>
      </c>
      <c r="H246" s="176">
        <f t="shared" si="7"/>
        <v>135.97749929399998</v>
      </c>
      <c r="I246" s="177" t="s">
        <v>1492</v>
      </c>
      <c r="J246" s="178"/>
    </row>
    <row r="247" spans="1:10" ht="14.9" customHeight="1">
      <c r="A247" s="173">
        <v>3.6139999999999999</v>
      </c>
      <c r="B247" s="174" t="s">
        <v>1766</v>
      </c>
      <c r="C247" s="174" t="s">
        <v>1767</v>
      </c>
      <c r="D247" s="175">
        <v>2</v>
      </c>
      <c r="E247" s="175">
        <v>28</v>
      </c>
      <c r="F247" s="175">
        <v>252</v>
      </c>
      <c r="G247" s="176">
        <f t="shared" si="6"/>
        <v>2.60128512</v>
      </c>
      <c r="H247" s="176">
        <f t="shared" si="7"/>
        <v>7.1358454440000001</v>
      </c>
      <c r="I247" s="177" t="s">
        <v>30</v>
      </c>
      <c r="J247" s="178" t="s">
        <v>1504</v>
      </c>
    </row>
    <row r="248" spans="1:10" ht="14.9" customHeight="1">
      <c r="A248" s="173">
        <v>3.6139999999999999</v>
      </c>
      <c r="B248" s="174" t="s">
        <v>1768</v>
      </c>
      <c r="C248" s="174" t="s">
        <v>1767</v>
      </c>
      <c r="D248" s="175">
        <v>2</v>
      </c>
      <c r="E248" s="175">
        <v>104</v>
      </c>
      <c r="F248" s="175">
        <v>1055</v>
      </c>
      <c r="G248" s="176">
        <f t="shared" si="6"/>
        <v>9.6619161600000005</v>
      </c>
      <c r="H248" s="176">
        <f t="shared" si="7"/>
        <v>29.874273584999997</v>
      </c>
      <c r="I248" s="177" t="s">
        <v>30</v>
      </c>
      <c r="J248" s="178" t="s">
        <v>1504</v>
      </c>
    </row>
    <row r="249" spans="1:10" ht="14.9" customHeight="1">
      <c r="A249" s="179">
        <v>3.62</v>
      </c>
      <c r="B249" s="180" t="s">
        <v>1377</v>
      </c>
      <c r="C249" s="180" t="s">
        <v>1769</v>
      </c>
      <c r="D249" s="181" t="s">
        <v>1498</v>
      </c>
      <c r="E249" s="182">
        <v>147</v>
      </c>
      <c r="F249" s="182">
        <v>1702</v>
      </c>
      <c r="G249" s="176">
        <f t="shared" si="6"/>
        <v>13.65674688</v>
      </c>
      <c r="H249" s="176">
        <f t="shared" si="7"/>
        <v>48.195273594</v>
      </c>
      <c r="I249" s="177" t="s">
        <v>1492</v>
      </c>
      <c r="J249" s="178" t="s">
        <v>1553</v>
      </c>
    </row>
    <row r="250" spans="1:10" ht="14.9" customHeight="1">
      <c r="A250" s="173">
        <v>3.62</v>
      </c>
      <c r="B250" s="174" t="s">
        <v>853</v>
      </c>
      <c r="C250" s="174" t="s">
        <v>1770</v>
      </c>
      <c r="D250" s="183" t="s">
        <v>1507</v>
      </c>
      <c r="E250" s="182">
        <v>160</v>
      </c>
      <c r="F250" s="182">
        <v>1485</v>
      </c>
      <c r="G250" s="176">
        <f t="shared" si="6"/>
        <v>14.864486400000001</v>
      </c>
      <c r="H250" s="176">
        <f t="shared" si="7"/>
        <v>42.050517794999998</v>
      </c>
      <c r="I250" s="177" t="s">
        <v>1492</v>
      </c>
      <c r="J250" s="178"/>
    </row>
    <row r="251" spans="1:10" ht="14.9" customHeight="1">
      <c r="A251" s="179">
        <v>3.7109999999999999</v>
      </c>
      <c r="B251" s="180" t="s">
        <v>1771</v>
      </c>
      <c r="C251" s="180" t="s">
        <v>1772</v>
      </c>
      <c r="D251" s="181" t="s">
        <v>1510</v>
      </c>
      <c r="E251" s="182">
        <v>104</v>
      </c>
      <c r="F251" s="182">
        <v>1228</v>
      </c>
      <c r="G251" s="176">
        <f t="shared" si="6"/>
        <v>9.6619161600000005</v>
      </c>
      <c r="H251" s="176">
        <f t="shared" si="7"/>
        <v>34.773088115999997</v>
      </c>
      <c r="I251" s="177" t="s">
        <v>1492</v>
      </c>
      <c r="J251" s="178" t="s">
        <v>1773</v>
      </c>
    </row>
    <row r="252" spans="1:10" ht="14.9" customHeight="1">
      <c r="A252" s="173">
        <v>3.7109999999999999</v>
      </c>
      <c r="B252" s="174" t="s">
        <v>833</v>
      </c>
      <c r="C252" s="174" t="s">
        <v>1774</v>
      </c>
      <c r="D252" s="175">
        <v>2</v>
      </c>
      <c r="E252" s="175">
        <v>75</v>
      </c>
      <c r="F252" s="175">
        <v>1010</v>
      </c>
      <c r="G252" s="176">
        <f t="shared" si="6"/>
        <v>6.9677280000000001</v>
      </c>
      <c r="H252" s="176">
        <f t="shared" si="7"/>
        <v>28.600015469999999</v>
      </c>
      <c r="I252" s="177" t="s">
        <v>1492</v>
      </c>
      <c r="J252" s="178"/>
    </row>
    <row r="253" spans="1:10" ht="14.9" customHeight="1">
      <c r="A253" s="173">
        <v>3.7109999999999999</v>
      </c>
      <c r="B253" s="174" t="s">
        <v>838</v>
      </c>
      <c r="C253" s="174" t="s">
        <v>1775</v>
      </c>
      <c r="D253" s="175">
        <v>3</v>
      </c>
      <c r="E253" s="175">
        <v>330</v>
      </c>
      <c r="F253" s="175">
        <v>2823</v>
      </c>
      <c r="G253" s="176">
        <f t="shared" si="6"/>
        <v>30.658003200000003</v>
      </c>
      <c r="H253" s="176">
        <f t="shared" si="7"/>
        <v>79.938459080999991</v>
      </c>
      <c r="I253" s="177" t="s">
        <v>1492</v>
      </c>
      <c r="J253" s="178"/>
    </row>
    <row r="254" spans="1:10" ht="14.9" customHeight="1">
      <c r="A254" s="173">
        <v>3.7120000000000002</v>
      </c>
      <c r="B254" s="174" t="s">
        <v>825</v>
      </c>
      <c r="C254" s="174" t="s">
        <v>1776</v>
      </c>
      <c r="D254" s="175">
        <v>4</v>
      </c>
      <c r="E254" s="175">
        <v>103</v>
      </c>
      <c r="F254" s="175">
        <v>925</v>
      </c>
      <c r="G254" s="176">
        <f t="shared" si="6"/>
        <v>9.569013120000001</v>
      </c>
      <c r="H254" s="176">
        <f t="shared" si="7"/>
        <v>26.193083474999998</v>
      </c>
      <c r="I254" s="177" t="s">
        <v>1492</v>
      </c>
      <c r="J254" s="178"/>
    </row>
    <row r="255" spans="1:10" ht="14.9" customHeight="1">
      <c r="A255" s="173">
        <v>3.7130000000000001</v>
      </c>
      <c r="B255" s="174" t="s">
        <v>822</v>
      </c>
      <c r="C255" s="174" t="s">
        <v>1777</v>
      </c>
      <c r="D255" s="175">
        <v>3</v>
      </c>
      <c r="E255" s="175">
        <v>1447</v>
      </c>
      <c r="F255" s="175">
        <v>12434</v>
      </c>
      <c r="G255" s="176">
        <f t="shared" si="6"/>
        <v>134.43069888000002</v>
      </c>
      <c r="H255" s="176">
        <f t="shared" si="7"/>
        <v>352.09167559799999</v>
      </c>
      <c r="I255" s="177" t="s">
        <v>1492</v>
      </c>
      <c r="J255" s="178"/>
    </row>
    <row r="256" spans="1:10" ht="14.9" customHeight="1">
      <c r="A256" s="173">
        <v>3.7130000000000001</v>
      </c>
      <c r="B256" s="174" t="s">
        <v>1778</v>
      </c>
      <c r="C256" s="174" t="s">
        <v>1779</v>
      </c>
      <c r="D256" s="175">
        <v>3</v>
      </c>
      <c r="E256" s="175">
        <v>270</v>
      </c>
      <c r="F256" s="175">
        <v>2318</v>
      </c>
      <c r="G256" s="176">
        <f t="shared" si="6"/>
        <v>25.083820800000002</v>
      </c>
      <c r="H256" s="176">
        <f t="shared" si="7"/>
        <v>65.638451345999997</v>
      </c>
      <c r="I256" s="177" t="s">
        <v>1492</v>
      </c>
      <c r="J256" s="178"/>
    </row>
    <row r="257" spans="1:10" ht="14.9" customHeight="1">
      <c r="A257" s="173">
        <v>3.7130000000000001</v>
      </c>
      <c r="B257" s="174" t="s">
        <v>818</v>
      </c>
      <c r="C257" s="174" t="s">
        <v>1780</v>
      </c>
      <c r="D257" s="175">
        <v>4</v>
      </c>
      <c r="E257" s="175">
        <v>0</v>
      </c>
      <c r="F257" s="175">
        <v>5072</v>
      </c>
      <c r="G257" s="176">
        <f t="shared" si="6"/>
        <v>0</v>
      </c>
      <c r="H257" s="176">
        <f t="shared" si="7"/>
        <v>143.62304798399998</v>
      </c>
      <c r="I257" s="177" t="s">
        <v>1492</v>
      </c>
      <c r="J257" s="178"/>
    </row>
    <row r="258" spans="1:10" ht="14.9" customHeight="1">
      <c r="A258" s="173">
        <v>3.7130000000000001</v>
      </c>
      <c r="B258" s="174" t="s">
        <v>816</v>
      </c>
      <c r="C258" s="174" t="s">
        <v>1781</v>
      </c>
      <c r="D258" s="175">
        <v>4</v>
      </c>
      <c r="E258" s="175">
        <v>0</v>
      </c>
      <c r="F258" s="175">
        <v>5072</v>
      </c>
      <c r="G258" s="176">
        <f t="shared" si="6"/>
        <v>0</v>
      </c>
      <c r="H258" s="176">
        <f t="shared" si="7"/>
        <v>143.62304798399998</v>
      </c>
      <c r="I258" s="177" t="s">
        <v>1492</v>
      </c>
      <c r="J258" s="178"/>
    </row>
    <row r="259" spans="1:10" ht="14.9" customHeight="1">
      <c r="A259" s="173">
        <v>3.7149999999999999</v>
      </c>
      <c r="B259" s="174" t="s">
        <v>811</v>
      </c>
      <c r="C259" s="174" t="s">
        <v>1782</v>
      </c>
      <c r="D259" s="175">
        <v>2</v>
      </c>
      <c r="E259" s="175">
        <v>288</v>
      </c>
      <c r="F259" s="175">
        <v>2093</v>
      </c>
      <c r="G259" s="176">
        <f t="shared" si="6"/>
        <v>26.756075520000003</v>
      </c>
      <c r="H259" s="176">
        <f t="shared" si="7"/>
        <v>59.267160771</v>
      </c>
      <c r="I259" s="177" t="s">
        <v>1492</v>
      </c>
      <c r="J259" s="178"/>
    </row>
    <row r="260" spans="1:10" ht="14.9" customHeight="1">
      <c r="A260" s="173">
        <v>3.7149999999999999</v>
      </c>
      <c r="B260" s="174" t="s">
        <v>808</v>
      </c>
      <c r="C260" s="174" t="s">
        <v>1783</v>
      </c>
      <c r="D260" s="175">
        <v>3</v>
      </c>
      <c r="E260" s="175">
        <v>17</v>
      </c>
      <c r="F260" s="175">
        <v>447</v>
      </c>
      <c r="G260" s="176">
        <f t="shared" si="6"/>
        <v>1.57935168</v>
      </c>
      <c r="H260" s="176">
        <f t="shared" si="7"/>
        <v>12.657630609</v>
      </c>
      <c r="I260" s="177" t="s">
        <v>1492</v>
      </c>
      <c r="J260" s="178"/>
    </row>
    <row r="261" spans="1:10" ht="14.9" customHeight="1">
      <c r="A261" s="173">
        <v>3.72</v>
      </c>
      <c r="B261" s="174" t="s">
        <v>1784</v>
      </c>
      <c r="C261" s="174" t="s">
        <v>1785</v>
      </c>
      <c r="D261" s="175">
        <v>2</v>
      </c>
      <c r="E261" s="175">
        <v>137</v>
      </c>
      <c r="F261" s="175">
        <v>1259</v>
      </c>
      <c r="G261" s="176">
        <f t="shared" ref="G261:G324" si="8">E261*0.09290304</f>
        <v>12.727716480000002</v>
      </c>
      <c r="H261" s="176">
        <f t="shared" ref="H261:H324" si="9">F261*0.028316847</f>
        <v>35.650910373000002</v>
      </c>
      <c r="I261" s="177" t="s">
        <v>30</v>
      </c>
      <c r="J261" s="178" t="s">
        <v>1504</v>
      </c>
    </row>
    <row r="262" spans="1:10" ht="14.9" customHeight="1">
      <c r="A262" s="173">
        <v>3.74</v>
      </c>
      <c r="B262" s="174" t="s">
        <v>780</v>
      </c>
      <c r="C262" s="174" t="s">
        <v>1786</v>
      </c>
      <c r="D262" s="183" t="s">
        <v>1507</v>
      </c>
      <c r="E262" s="182">
        <v>49</v>
      </c>
      <c r="F262" s="182">
        <v>328</v>
      </c>
      <c r="G262" s="176">
        <f t="shared" si="8"/>
        <v>4.55224896</v>
      </c>
      <c r="H262" s="176">
        <f t="shared" si="9"/>
        <v>9.2879258159999996</v>
      </c>
      <c r="I262" s="177" t="s">
        <v>1492</v>
      </c>
      <c r="J262" s="178"/>
    </row>
    <row r="263" spans="1:10" ht="14.9" customHeight="1">
      <c r="A263" s="173">
        <v>3.74</v>
      </c>
      <c r="B263" s="174" t="s">
        <v>796</v>
      </c>
      <c r="C263" s="174" t="s">
        <v>1787</v>
      </c>
      <c r="D263" s="183" t="s">
        <v>1507</v>
      </c>
      <c r="E263" s="182">
        <v>56</v>
      </c>
      <c r="F263" s="182">
        <v>525</v>
      </c>
      <c r="G263" s="176">
        <f t="shared" si="8"/>
        <v>5.20257024</v>
      </c>
      <c r="H263" s="176">
        <f t="shared" si="9"/>
        <v>14.866344674999999</v>
      </c>
      <c r="I263" s="177" t="s">
        <v>1492</v>
      </c>
      <c r="J263" s="178"/>
    </row>
    <row r="264" spans="1:10" ht="14.9" customHeight="1">
      <c r="A264" s="173">
        <v>3.74</v>
      </c>
      <c r="B264" s="174" t="s">
        <v>795</v>
      </c>
      <c r="C264" s="174" t="s">
        <v>1787</v>
      </c>
      <c r="D264" s="183" t="s">
        <v>1507</v>
      </c>
      <c r="E264" s="182">
        <v>49</v>
      </c>
      <c r="F264" s="182">
        <v>449</v>
      </c>
      <c r="G264" s="176">
        <f t="shared" si="8"/>
        <v>4.55224896</v>
      </c>
      <c r="H264" s="176">
        <f t="shared" si="9"/>
        <v>12.714264303</v>
      </c>
      <c r="I264" s="177" t="s">
        <v>1492</v>
      </c>
      <c r="J264" s="178"/>
    </row>
    <row r="265" spans="1:10" ht="14.9" customHeight="1">
      <c r="A265" s="173">
        <v>3.74</v>
      </c>
      <c r="B265" s="174" t="s">
        <v>1788</v>
      </c>
      <c r="C265" s="174" t="s">
        <v>1789</v>
      </c>
      <c r="D265" s="183" t="s">
        <v>1507</v>
      </c>
      <c r="E265" s="182">
        <v>228</v>
      </c>
      <c r="F265" s="182">
        <v>2292</v>
      </c>
      <c r="G265" s="176">
        <f t="shared" si="8"/>
        <v>21.181893120000002</v>
      </c>
      <c r="H265" s="176">
        <f t="shared" si="9"/>
        <v>64.902213324000002</v>
      </c>
      <c r="I265" s="177" t="s">
        <v>1492</v>
      </c>
      <c r="J265" s="178"/>
    </row>
    <row r="266" spans="1:10" ht="14.9" customHeight="1">
      <c r="A266" s="173">
        <v>3.74</v>
      </c>
      <c r="B266" s="174" t="s">
        <v>1790</v>
      </c>
      <c r="C266" s="174" t="s">
        <v>1787</v>
      </c>
      <c r="D266" s="183" t="s">
        <v>1507</v>
      </c>
      <c r="E266" s="182">
        <v>34</v>
      </c>
      <c r="F266" s="182">
        <v>261</v>
      </c>
      <c r="G266" s="176">
        <f t="shared" si="8"/>
        <v>3.1587033600000001</v>
      </c>
      <c r="H266" s="176">
        <f t="shared" si="9"/>
        <v>7.3906970669999996</v>
      </c>
      <c r="I266" s="177" t="s">
        <v>1492</v>
      </c>
      <c r="J266" s="178"/>
    </row>
    <row r="267" spans="1:10" ht="14.9" customHeight="1">
      <c r="A267" s="173">
        <v>3.74</v>
      </c>
      <c r="B267" s="174" t="s">
        <v>793</v>
      </c>
      <c r="C267" s="174" t="s">
        <v>1787</v>
      </c>
      <c r="D267" s="183" t="s">
        <v>1507</v>
      </c>
      <c r="E267" s="182">
        <v>72</v>
      </c>
      <c r="F267" s="182">
        <v>582</v>
      </c>
      <c r="G267" s="176">
        <f t="shared" si="8"/>
        <v>6.6890188800000008</v>
      </c>
      <c r="H267" s="176">
        <f t="shared" si="9"/>
        <v>16.480404954000001</v>
      </c>
      <c r="I267" s="177" t="s">
        <v>1492</v>
      </c>
      <c r="J267" s="178"/>
    </row>
    <row r="268" spans="1:10" ht="14.9" customHeight="1">
      <c r="A268" s="173">
        <v>3.74</v>
      </c>
      <c r="B268" s="174" t="s">
        <v>1791</v>
      </c>
      <c r="C268" s="174" t="s">
        <v>1792</v>
      </c>
      <c r="D268" s="183" t="s">
        <v>1507</v>
      </c>
      <c r="E268" s="182">
        <v>36</v>
      </c>
      <c r="F268" s="182">
        <v>320</v>
      </c>
      <c r="G268" s="176">
        <f t="shared" si="8"/>
        <v>3.3445094400000004</v>
      </c>
      <c r="H268" s="176">
        <f t="shared" si="9"/>
        <v>9.0613910400000002</v>
      </c>
      <c r="I268" s="177" t="s">
        <v>1503</v>
      </c>
      <c r="J268" s="178" t="s">
        <v>1613</v>
      </c>
    </row>
    <row r="269" spans="1:10" ht="14.9" customHeight="1">
      <c r="A269" s="179">
        <v>3.74</v>
      </c>
      <c r="B269" s="180" t="s">
        <v>1793</v>
      </c>
      <c r="C269" s="180" t="s">
        <v>1794</v>
      </c>
      <c r="D269" s="181" t="s">
        <v>1510</v>
      </c>
      <c r="E269" s="182">
        <v>143</v>
      </c>
      <c r="F269" s="182">
        <v>3469</v>
      </c>
      <c r="G269" s="176">
        <f t="shared" si="8"/>
        <v>13.28513472</v>
      </c>
      <c r="H269" s="176">
        <f t="shared" si="9"/>
        <v>98.231142242999994</v>
      </c>
      <c r="I269" s="177" t="s">
        <v>1492</v>
      </c>
      <c r="J269" s="178"/>
    </row>
    <row r="270" spans="1:10" ht="14.9" customHeight="1">
      <c r="A270" s="179">
        <v>3.74</v>
      </c>
      <c r="B270" s="180" t="s">
        <v>1795</v>
      </c>
      <c r="C270" s="180" t="s">
        <v>1796</v>
      </c>
      <c r="D270" s="181" t="s">
        <v>1510</v>
      </c>
      <c r="E270" s="182">
        <v>603</v>
      </c>
      <c r="F270" s="182">
        <v>6555</v>
      </c>
      <c r="G270" s="176">
        <f t="shared" si="8"/>
        <v>56.020533120000003</v>
      </c>
      <c r="H270" s="176">
        <f t="shared" si="9"/>
        <v>185.616932085</v>
      </c>
      <c r="I270" s="177" t="s">
        <v>1492</v>
      </c>
      <c r="J270" s="178"/>
    </row>
    <row r="271" spans="1:10" ht="14.9" customHeight="1">
      <c r="A271" s="173">
        <v>3.74</v>
      </c>
      <c r="B271" s="174" t="s">
        <v>783</v>
      </c>
      <c r="C271" s="174" t="s">
        <v>1797</v>
      </c>
      <c r="D271" s="175">
        <v>2</v>
      </c>
      <c r="E271" s="175">
        <v>103</v>
      </c>
      <c r="F271" s="175">
        <v>1268</v>
      </c>
      <c r="G271" s="176">
        <f t="shared" si="8"/>
        <v>9.569013120000001</v>
      </c>
      <c r="H271" s="176">
        <f t="shared" si="9"/>
        <v>35.905761995999995</v>
      </c>
      <c r="I271" s="177" t="s">
        <v>1492</v>
      </c>
      <c r="J271" s="178"/>
    </row>
    <row r="272" spans="1:10" ht="14.9" customHeight="1">
      <c r="A272" s="173">
        <v>3.74</v>
      </c>
      <c r="B272" s="174" t="s">
        <v>840</v>
      </c>
      <c r="C272" s="174" t="s">
        <v>1798</v>
      </c>
      <c r="D272" s="175">
        <v>4</v>
      </c>
      <c r="E272" s="175">
        <v>268</v>
      </c>
      <c r="F272" s="175">
        <v>2290</v>
      </c>
      <c r="G272" s="176">
        <f t="shared" si="8"/>
        <v>24.898014720000003</v>
      </c>
      <c r="H272" s="176">
        <f t="shared" si="9"/>
        <v>64.845579630000003</v>
      </c>
      <c r="I272" s="177" t="s">
        <v>1492</v>
      </c>
      <c r="J272" s="178"/>
    </row>
    <row r="273" spans="1:10" ht="14.9" customHeight="1">
      <c r="A273" s="173">
        <v>3.74</v>
      </c>
      <c r="B273" s="174" t="s">
        <v>788</v>
      </c>
      <c r="C273" s="174" t="s">
        <v>1799</v>
      </c>
      <c r="D273" s="175">
        <v>4</v>
      </c>
      <c r="E273" s="175">
        <v>268</v>
      </c>
      <c r="F273" s="175">
        <v>2290</v>
      </c>
      <c r="G273" s="176">
        <f t="shared" si="8"/>
        <v>24.898014720000003</v>
      </c>
      <c r="H273" s="176">
        <f t="shared" si="9"/>
        <v>64.845579630000003</v>
      </c>
      <c r="I273" s="177" t="s">
        <v>1492</v>
      </c>
      <c r="J273" s="178"/>
    </row>
    <row r="274" spans="1:10" ht="14.9" customHeight="1">
      <c r="A274" s="179">
        <v>3.78</v>
      </c>
      <c r="B274" s="180" t="s">
        <v>766</v>
      </c>
      <c r="C274" s="180" t="s">
        <v>1800</v>
      </c>
      <c r="D274" s="181" t="s">
        <v>1494</v>
      </c>
      <c r="E274" s="182">
        <v>24</v>
      </c>
      <c r="F274" s="182">
        <v>204</v>
      </c>
      <c r="G274" s="176">
        <f t="shared" si="8"/>
        <v>2.2296729600000003</v>
      </c>
      <c r="H274" s="176">
        <f t="shared" si="9"/>
        <v>5.7766367880000002</v>
      </c>
      <c r="I274" s="177" t="s">
        <v>1492</v>
      </c>
      <c r="J274" s="178"/>
    </row>
    <row r="275" spans="1:10" ht="14.9" customHeight="1">
      <c r="A275" s="173">
        <v>3.78</v>
      </c>
      <c r="B275" s="174" t="s">
        <v>765</v>
      </c>
      <c r="C275" s="180" t="s">
        <v>1800</v>
      </c>
      <c r="D275" s="181" t="s">
        <v>1544</v>
      </c>
      <c r="E275" s="182">
        <v>14</v>
      </c>
      <c r="F275" s="182">
        <v>110</v>
      </c>
      <c r="G275" s="176">
        <f t="shared" si="8"/>
        <v>1.30064256</v>
      </c>
      <c r="H275" s="176">
        <f t="shared" si="9"/>
        <v>3.1148531699999999</v>
      </c>
      <c r="I275" s="177" t="s">
        <v>1492</v>
      </c>
      <c r="J275" s="178"/>
    </row>
    <row r="276" spans="1:10" ht="14.9" customHeight="1">
      <c r="A276" s="173">
        <v>3.78</v>
      </c>
      <c r="B276" s="174" t="s">
        <v>764</v>
      </c>
      <c r="C276" s="180" t="s">
        <v>1800</v>
      </c>
      <c r="D276" s="181" t="s">
        <v>1544</v>
      </c>
      <c r="E276" s="182">
        <v>15</v>
      </c>
      <c r="F276" s="182">
        <v>61</v>
      </c>
      <c r="G276" s="176">
        <f t="shared" si="8"/>
        <v>1.3935456000000002</v>
      </c>
      <c r="H276" s="176">
        <f t="shared" si="9"/>
        <v>1.727327667</v>
      </c>
      <c r="I276" s="177" t="s">
        <v>1492</v>
      </c>
      <c r="J276" s="178"/>
    </row>
    <row r="277" spans="1:10" ht="14.9" customHeight="1">
      <c r="A277" s="173">
        <v>3.78</v>
      </c>
      <c r="B277" s="174" t="s">
        <v>763</v>
      </c>
      <c r="C277" s="180" t="s">
        <v>1800</v>
      </c>
      <c r="D277" s="181" t="s">
        <v>1544</v>
      </c>
      <c r="E277" s="182">
        <v>15</v>
      </c>
      <c r="F277" s="182">
        <v>61</v>
      </c>
      <c r="G277" s="176">
        <f t="shared" si="8"/>
        <v>1.3935456000000002</v>
      </c>
      <c r="H277" s="176">
        <f t="shared" si="9"/>
        <v>1.727327667</v>
      </c>
      <c r="I277" s="177" t="s">
        <v>1492</v>
      </c>
      <c r="J277" s="178"/>
    </row>
    <row r="278" spans="1:10" ht="14.9" customHeight="1">
      <c r="A278" s="173">
        <v>3.78</v>
      </c>
      <c r="B278" s="174" t="s">
        <v>762</v>
      </c>
      <c r="C278" s="174" t="s">
        <v>1800</v>
      </c>
      <c r="D278" s="183" t="s">
        <v>1507</v>
      </c>
      <c r="E278" s="182">
        <v>13</v>
      </c>
      <c r="F278" s="182">
        <v>118</v>
      </c>
      <c r="G278" s="176">
        <f t="shared" si="8"/>
        <v>1.2077395200000001</v>
      </c>
      <c r="H278" s="176">
        <f t="shared" si="9"/>
        <v>3.3413879459999998</v>
      </c>
      <c r="I278" s="177" t="s">
        <v>1492</v>
      </c>
      <c r="J278" s="178"/>
    </row>
    <row r="279" spans="1:10" ht="14.9" customHeight="1">
      <c r="A279" s="173">
        <v>3.78</v>
      </c>
      <c r="B279" s="174" t="s">
        <v>761</v>
      </c>
      <c r="C279" s="174" t="s">
        <v>1800</v>
      </c>
      <c r="D279" s="175">
        <v>1</v>
      </c>
      <c r="E279" s="175">
        <v>10</v>
      </c>
      <c r="F279" s="175">
        <v>92</v>
      </c>
      <c r="G279" s="176">
        <f t="shared" si="8"/>
        <v>0.92903040000000003</v>
      </c>
      <c r="H279" s="176">
        <f t="shared" si="9"/>
        <v>2.605149924</v>
      </c>
      <c r="I279" s="184" t="s">
        <v>1492</v>
      </c>
      <c r="J279" s="185"/>
    </row>
    <row r="280" spans="1:10" ht="14.9" customHeight="1">
      <c r="A280" s="189">
        <v>3.78</v>
      </c>
      <c r="B280" s="190" t="s">
        <v>760</v>
      </c>
      <c r="C280" s="190" t="s">
        <v>1800</v>
      </c>
      <c r="D280" s="175">
        <v>1</v>
      </c>
      <c r="E280" s="175">
        <v>24</v>
      </c>
      <c r="F280" s="175">
        <v>234</v>
      </c>
      <c r="G280" s="176">
        <f t="shared" si="8"/>
        <v>2.2296729600000003</v>
      </c>
      <c r="H280" s="176">
        <f t="shared" si="9"/>
        <v>6.6261421980000001</v>
      </c>
      <c r="I280" s="177" t="s">
        <v>1492</v>
      </c>
      <c r="J280" s="178"/>
    </row>
    <row r="281" spans="1:10" ht="14.9" customHeight="1">
      <c r="A281" s="173">
        <v>3.78</v>
      </c>
      <c r="B281" s="174" t="s">
        <v>759</v>
      </c>
      <c r="C281" s="174" t="s">
        <v>1800</v>
      </c>
      <c r="D281" s="175">
        <v>2</v>
      </c>
      <c r="E281" s="175">
        <v>13</v>
      </c>
      <c r="F281" s="175">
        <v>115</v>
      </c>
      <c r="G281" s="176">
        <f t="shared" si="8"/>
        <v>1.2077395200000001</v>
      </c>
      <c r="H281" s="176">
        <f t="shared" si="9"/>
        <v>3.2564374049999998</v>
      </c>
      <c r="I281" s="177" t="s">
        <v>1492</v>
      </c>
      <c r="J281" s="178"/>
    </row>
    <row r="282" spans="1:10" ht="14.9" customHeight="1">
      <c r="A282" s="173">
        <v>3.78</v>
      </c>
      <c r="B282" s="174" t="s">
        <v>1801</v>
      </c>
      <c r="C282" s="174" t="s">
        <v>1800</v>
      </c>
      <c r="D282" s="175">
        <v>2</v>
      </c>
      <c r="E282" s="175">
        <v>8</v>
      </c>
      <c r="F282" s="175">
        <v>75</v>
      </c>
      <c r="G282" s="176">
        <f t="shared" si="8"/>
        <v>0.74322432000000005</v>
      </c>
      <c r="H282" s="176">
        <f t="shared" si="9"/>
        <v>2.1237635249999998</v>
      </c>
      <c r="I282" s="177" t="s">
        <v>1503</v>
      </c>
      <c r="J282" s="178" t="s">
        <v>1641</v>
      </c>
    </row>
    <row r="283" spans="1:10" ht="14.9" customHeight="1">
      <c r="A283" s="173">
        <v>3.78</v>
      </c>
      <c r="B283" s="174" t="s">
        <v>757</v>
      </c>
      <c r="C283" s="174" t="s">
        <v>1800</v>
      </c>
      <c r="D283" s="175">
        <v>2</v>
      </c>
      <c r="E283" s="175">
        <v>9</v>
      </c>
      <c r="F283" s="175">
        <v>133</v>
      </c>
      <c r="G283" s="176">
        <f t="shared" si="8"/>
        <v>0.8361273600000001</v>
      </c>
      <c r="H283" s="176">
        <f t="shared" si="9"/>
        <v>3.7661406509999997</v>
      </c>
      <c r="I283" s="177" t="s">
        <v>1492</v>
      </c>
      <c r="J283" s="178"/>
    </row>
    <row r="284" spans="1:10" ht="14.9" customHeight="1">
      <c r="A284" s="173">
        <v>3.78</v>
      </c>
      <c r="B284" s="174" t="s">
        <v>1802</v>
      </c>
      <c r="C284" s="174" t="s">
        <v>1800</v>
      </c>
      <c r="D284" s="175">
        <v>2</v>
      </c>
      <c r="E284" s="175">
        <v>9</v>
      </c>
      <c r="F284" s="175">
        <v>84</v>
      </c>
      <c r="G284" s="176">
        <f t="shared" si="8"/>
        <v>0.8361273600000001</v>
      </c>
      <c r="H284" s="176">
        <f t="shared" si="9"/>
        <v>2.3786151479999997</v>
      </c>
      <c r="I284" s="177" t="s">
        <v>1492</v>
      </c>
      <c r="J284" s="178"/>
    </row>
    <row r="285" spans="1:10" ht="14.9" customHeight="1">
      <c r="A285" s="173">
        <v>3.78</v>
      </c>
      <c r="B285" s="174" t="s">
        <v>1803</v>
      </c>
      <c r="C285" s="174" t="s">
        <v>1800</v>
      </c>
      <c r="D285" s="175">
        <v>3</v>
      </c>
      <c r="E285" s="175">
        <v>12</v>
      </c>
      <c r="F285" s="175">
        <v>103</v>
      </c>
      <c r="G285" s="176">
        <f t="shared" si="8"/>
        <v>1.1148364800000001</v>
      </c>
      <c r="H285" s="176">
        <f t="shared" si="9"/>
        <v>2.9166352409999998</v>
      </c>
      <c r="I285" s="177" t="s">
        <v>1503</v>
      </c>
      <c r="J285" s="178" t="s">
        <v>1583</v>
      </c>
    </row>
    <row r="286" spans="1:10" ht="14.9" customHeight="1">
      <c r="A286" s="173">
        <v>3.78</v>
      </c>
      <c r="B286" s="174" t="s">
        <v>755</v>
      </c>
      <c r="C286" s="174" t="s">
        <v>1800</v>
      </c>
      <c r="D286" s="175">
        <v>3</v>
      </c>
      <c r="E286" s="175">
        <v>11</v>
      </c>
      <c r="F286" s="175">
        <v>97</v>
      </c>
      <c r="G286" s="176">
        <f t="shared" si="8"/>
        <v>1.02193344</v>
      </c>
      <c r="H286" s="176">
        <f t="shared" si="9"/>
        <v>2.7467341589999998</v>
      </c>
      <c r="I286" s="177" t="s">
        <v>1492</v>
      </c>
      <c r="J286" s="178"/>
    </row>
    <row r="287" spans="1:10" ht="14.9" customHeight="1">
      <c r="A287" s="173">
        <v>3.78</v>
      </c>
      <c r="B287" s="174" t="s">
        <v>754</v>
      </c>
      <c r="C287" s="174" t="s">
        <v>1800</v>
      </c>
      <c r="D287" s="175">
        <v>3</v>
      </c>
      <c r="E287" s="175">
        <v>9</v>
      </c>
      <c r="F287" s="175">
        <v>77</v>
      </c>
      <c r="G287" s="176">
        <f t="shared" si="8"/>
        <v>0.8361273600000001</v>
      </c>
      <c r="H287" s="176">
        <f t="shared" si="9"/>
        <v>2.1803972190000001</v>
      </c>
      <c r="I287" s="177" t="s">
        <v>1492</v>
      </c>
      <c r="J287" s="178"/>
    </row>
    <row r="288" spans="1:10" ht="14.9" customHeight="1">
      <c r="A288" s="173">
        <v>3.78</v>
      </c>
      <c r="B288" s="174" t="s">
        <v>753</v>
      </c>
      <c r="C288" s="174" t="s">
        <v>1800</v>
      </c>
      <c r="D288" s="175">
        <v>3</v>
      </c>
      <c r="E288" s="175">
        <v>6</v>
      </c>
      <c r="F288" s="175">
        <v>52</v>
      </c>
      <c r="G288" s="176">
        <f t="shared" si="8"/>
        <v>0.55741824000000006</v>
      </c>
      <c r="H288" s="176">
        <f t="shared" si="9"/>
        <v>1.472476044</v>
      </c>
      <c r="I288" s="177" t="s">
        <v>1492</v>
      </c>
      <c r="J288" s="178"/>
    </row>
    <row r="289" spans="1:10" ht="14.9" customHeight="1">
      <c r="A289" s="173">
        <v>3.78</v>
      </c>
      <c r="B289" s="174" t="s">
        <v>752</v>
      </c>
      <c r="C289" s="174" t="s">
        <v>1800</v>
      </c>
      <c r="D289" s="175">
        <v>3</v>
      </c>
      <c r="E289" s="175">
        <v>10</v>
      </c>
      <c r="F289" s="175">
        <v>86</v>
      </c>
      <c r="G289" s="176">
        <f t="shared" si="8"/>
        <v>0.92903040000000003</v>
      </c>
      <c r="H289" s="176">
        <f t="shared" si="9"/>
        <v>2.435248842</v>
      </c>
      <c r="I289" s="177"/>
      <c r="J289" s="178"/>
    </row>
    <row r="290" spans="1:10" ht="14.9" customHeight="1">
      <c r="A290" s="173">
        <v>3.8210000000000002</v>
      </c>
      <c r="B290" s="180" t="s">
        <v>1353</v>
      </c>
      <c r="C290" s="180" t="s">
        <v>1804</v>
      </c>
      <c r="D290" s="181" t="s">
        <v>1496</v>
      </c>
      <c r="E290" s="182">
        <v>35</v>
      </c>
      <c r="F290" s="182">
        <v>259</v>
      </c>
      <c r="G290" s="176">
        <f t="shared" si="8"/>
        <v>3.2516064</v>
      </c>
      <c r="H290" s="176">
        <f t="shared" si="9"/>
        <v>7.3340633730000002</v>
      </c>
      <c r="I290" s="177" t="s">
        <v>1492</v>
      </c>
      <c r="J290" s="178"/>
    </row>
    <row r="291" spans="1:10" ht="14.9" customHeight="1">
      <c r="A291" s="179">
        <v>3.8210000000000002</v>
      </c>
      <c r="B291" s="180" t="s">
        <v>746</v>
      </c>
      <c r="C291" s="180" t="s">
        <v>1805</v>
      </c>
      <c r="D291" s="181" t="s">
        <v>1494</v>
      </c>
      <c r="E291" s="182">
        <v>52</v>
      </c>
      <c r="F291" s="182">
        <v>442</v>
      </c>
      <c r="G291" s="176">
        <f t="shared" si="8"/>
        <v>4.8309580800000003</v>
      </c>
      <c r="H291" s="176">
        <f t="shared" si="9"/>
        <v>12.516046374</v>
      </c>
      <c r="I291" s="177" t="s">
        <v>1492</v>
      </c>
      <c r="J291" s="178"/>
    </row>
    <row r="292" spans="1:10" ht="14.9" customHeight="1">
      <c r="A292" s="179">
        <v>3.8210000000000002</v>
      </c>
      <c r="B292" s="180" t="s">
        <v>745</v>
      </c>
      <c r="C292" s="180" t="s">
        <v>1805</v>
      </c>
      <c r="D292" s="181" t="s">
        <v>1498</v>
      </c>
      <c r="E292" s="182">
        <v>58</v>
      </c>
      <c r="F292" s="182">
        <v>645</v>
      </c>
      <c r="G292" s="176">
        <f t="shared" si="8"/>
        <v>5.3883763200000008</v>
      </c>
      <c r="H292" s="176">
        <f t="shared" si="9"/>
        <v>18.264366315</v>
      </c>
      <c r="I292" s="177" t="s">
        <v>1492</v>
      </c>
      <c r="J292" s="178"/>
    </row>
    <row r="293" spans="1:10" ht="14.9" customHeight="1">
      <c r="A293" s="179">
        <v>3.8210000000000002</v>
      </c>
      <c r="B293" s="180" t="s">
        <v>744</v>
      </c>
      <c r="C293" s="180" t="s">
        <v>1805</v>
      </c>
      <c r="D293" s="181" t="s">
        <v>1498</v>
      </c>
      <c r="E293" s="182">
        <v>99</v>
      </c>
      <c r="F293" s="182">
        <v>1203</v>
      </c>
      <c r="G293" s="176">
        <f t="shared" si="8"/>
        <v>9.1974009600000013</v>
      </c>
      <c r="H293" s="176">
        <f t="shared" si="9"/>
        <v>34.065166941000001</v>
      </c>
      <c r="I293" s="177" t="s">
        <v>1492</v>
      </c>
      <c r="J293" s="178"/>
    </row>
    <row r="294" spans="1:10" ht="14.9" customHeight="1">
      <c r="A294" s="179">
        <v>3.8210000000000002</v>
      </c>
      <c r="B294" s="180" t="s">
        <v>743</v>
      </c>
      <c r="C294" s="180" t="s">
        <v>1805</v>
      </c>
      <c r="D294" s="181" t="s">
        <v>1498</v>
      </c>
      <c r="E294" s="182">
        <v>15</v>
      </c>
      <c r="F294" s="182">
        <v>222</v>
      </c>
      <c r="G294" s="176">
        <f t="shared" si="8"/>
        <v>1.3935456000000002</v>
      </c>
      <c r="H294" s="176">
        <f t="shared" si="9"/>
        <v>6.2863400340000002</v>
      </c>
      <c r="I294" s="177" t="s">
        <v>1492</v>
      </c>
      <c r="J294" s="178"/>
    </row>
    <row r="295" spans="1:10" ht="14.9" customHeight="1">
      <c r="A295" s="173">
        <v>3.8210000000000002</v>
      </c>
      <c r="B295" s="174" t="s">
        <v>1806</v>
      </c>
      <c r="C295" s="180" t="s">
        <v>1805</v>
      </c>
      <c r="D295" s="181" t="s">
        <v>1544</v>
      </c>
      <c r="E295" s="182">
        <v>128</v>
      </c>
      <c r="F295" s="182">
        <v>1042</v>
      </c>
      <c r="G295" s="176">
        <f t="shared" si="8"/>
        <v>11.891589120000001</v>
      </c>
      <c r="H295" s="176">
        <f t="shared" si="9"/>
        <v>29.506154574</v>
      </c>
      <c r="I295" s="177" t="s">
        <v>1492</v>
      </c>
      <c r="J295" s="178"/>
    </row>
    <row r="296" spans="1:10" ht="14.9" customHeight="1">
      <c r="A296" s="173">
        <v>3.8210000000000002</v>
      </c>
      <c r="B296" s="174" t="s">
        <v>741</v>
      </c>
      <c r="C296" s="180" t="s">
        <v>1805</v>
      </c>
      <c r="D296" s="181" t="s">
        <v>1544</v>
      </c>
      <c r="E296" s="182">
        <v>120</v>
      </c>
      <c r="F296" s="182">
        <v>980</v>
      </c>
      <c r="G296" s="176">
        <f t="shared" si="8"/>
        <v>11.148364800000001</v>
      </c>
      <c r="H296" s="176">
        <f t="shared" si="9"/>
        <v>27.75051006</v>
      </c>
      <c r="I296" s="177" t="s">
        <v>1492</v>
      </c>
      <c r="J296" s="178"/>
    </row>
    <row r="297" spans="1:10" ht="14.9" customHeight="1">
      <c r="A297" s="173">
        <v>3.8210000000000002</v>
      </c>
      <c r="B297" s="174" t="s">
        <v>740</v>
      </c>
      <c r="C297" s="180" t="s">
        <v>1805</v>
      </c>
      <c r="D297" s="181" t="s">
        <v>1544</v>
      </c>
      <c r="E297" s="182">
        <v>114</v>
      </c>
      <c r="F297" s="182">
        <v>935</v>
      </c>
      <c r="G297" s="176">
        <f t="shared" si="8"/>
        <v>10.590946560000001</v>
      </c>
      <c r="H297" s="176">
        <f t="shared" si="9"/>
        <v>26.476251944999998</v>
      </c>
      <c r="I297" s="177" t="s">
        <v>1492</v>
      </c>
      <c r="J297" s="178"/>
    </row>
    <row r="298" spans="1:10" ht="14.9" customHeight="1">
      <c r="A298" s="173">
        <v>3.8210000000000002</v>
      </c>
      <c r="B298" s="174" t="s">
        <v>739</v>
      </c>
      <c r="C298" s="180" t="s">
        <v>1805</v>
      </c>
      <c r="D298" s="181" t="s">
        <v>1544</v>
      </c>
      <c r="E298" s="182">
        <v>92</v>
      </c>
      <c r="F298" s="182">
        <v>169</v>
      </c>
      <c r="G298" s="176">
        <f t="shared" si="8"/>
        <v>8.5470796800000013</v>
      </c>
      <c r="H298" s="176">
        <f t="shared" si="9"/>
        <v>4.7855471429999996</v>
      </c>
      <c r="I298" s="177" t="s">
        <v>1492</v>
      </c>
      <c r="J298" s="178"/>
    </row>
    <row r="299" spans="1:10" ht="14.9" customHeight="1">
      <c r="A299" s="173">
        <v>3.8210000000000002</v>
      </c>
      <c r="B299" s="174" t="s">
        <v>738</v>
      </c>
      <c r="C299" s="180" t="s">
        <v>1805</v>
      </c>
      <c r="D299" s="181" t="s">
        <v>1544</v>
      </c>
      <c r="E299" s="182">
        <v>92</v>
      </c>
      <c r="F299" s="182">
        <v>169</v>
      </c>
      <c r="G299" s="176">
        <f t="shared" si="8"/>
        <v>8.5470796800000013</v>
      </c>
      <c r="H299" s="176">
        <f t="shared" si="9"/>
        <v>4.7855471429999996</v>
      </c>
      <c r="I299" s="177" t="s">
        <v>1492</v>
      </c>
      <c r="J299" s="178"/>
    </row>
    <row r="300" spans="1:10" ht="14.9" customHeight="1">
      <c r="A300" s="173">
        <v>3.8210000000000002</v>
      </c>
      <c r="B300" s="174" t="s">
        <v>737</v>
      </c>
      <c r="C300" s="180" t="s">
        <v>1805</v>
      </c>
      <c r="D300" s="181" t="s">
        <v>1544</v>
      </c>
      <c r="E300" s="182">
        <v>54</v>
      </c>
      <c r="F300" s="182">
        <v>441</v>
      </c>
      <c r="G300" s="176">
        <f t="shared" si="8"/>
        <v>5.0167641600000001</v>
      </c>
      <c r="H300" s="176">
        <f t="shared" si="9"/>
        <v>12.487729526999999</v>
      </c>
      <c r="I300" s="177" t="s">
        <v>1492</v>
      </c>
      <c r="J300" s="178"/>
    </row>
    <row r="301" spans="1:10" ht="14.9" customHeight="1">
      <c r="A301" s="173">
        <v>3.8210000000000002</v>
      </c>
      <c r="B301" s="174" t="s">
        <v>736</v>
      </c>
      <c r="C301" s="180" t="s">
        <v>1805</v>
      </c>
      <c r="D301" s="181" t="s">
        <v>1544</v>
      </c>
      <c r="E301" s="182">
        <v>51</v>
      </c>
      <c r="F301" s="182">
        <v>419</v>
      </c>
      <c r="G301" s="176">
        <f t="shared" si="8"/>
        <v>4.7380550399999999</v>
      </c>
      <c r="H301" s="176">
        <f t="shared" si="9"/>
        <v>11.864758892999999</v>
      </c>
      <c r="I301" s="177" t="s">
        <v>1492</v>
      </c>
      <c r="J301" s="178"/>
    </row>
    <row r="302" spans="1:10" ht="14.9" customHeight="1">
      <c r="A302" s="173">
        <v>3.8210000000000002</v>
      </c>
      <c r="B302" s="174" t="s">
        <v>735</v>
      </c>
      <c r="C302" s="174" t="s">
        <v>1805</v>
      </c>
      <c r="D302" s="183" t="s">
        <v>1507</v>
      </c>
      <c r="E302" s="182">
        <v>60</v>
      </c>
      <c r="F302" s="182">
        <v>464</v>
      </c>
      <c r="G302" s="176">
        <f t="shared" si="8"/>
        <v>5.5741824000000006</v>
      </c>
      <c r="H302" s="176">
        <f t="shared" si="9"/>
        <v>13.139017008</v>
      </c>
      <c r="I302" s="177" t="s">
        <v>1492</v>
      </c>
      <c r="J302" s="178"/>
    </row>
    <row r="303" spans="1:10" ht="14.9" customHeight="1">
      <c r="A303" s="173">
        <v>3.8210000000000002</v>
      </c>
      <c r="B303" s="174" t="s">
        <v>734</v>
      </c>
      <c r="C303" s="174" t="s">
        <v>1805</v>
      </c>
      <c r="D303" s="183" t="s">
        <v>1507</v>
      </c>
      <c r="E303" s="182">
        <v>597</v>
      </c>
      <c r="F303" s="182">
        <v>5970</v>
      </c>
      <c r="G303" s="176">
        <f t="shared" si="8"/>
        <v>55.463114880000006</v>
      </c>
      <c r="H303" s="176">
        <f t="shared" si="9"/>
        <v>169.05157659</v>
      </c>
      <c r="I303" s="177" t="s">
        <v>1492</v>
      </c>
      <c r="J303" s="178"/>
    </row>
    <row r="304" spans="1:10" ht="14.9" customHeight="1">
      <c r="A304" s="173">
        <v>3.8210000000000002</v>
      </c>
      <c r="B304" s="174" t="s">
        <v>733</v>
      </c>
      <c r="C304" s="174" t="s">
        <v>1805</v>
      </c>
      <c r="D304" s="183" t="s">
        <v>1507</v>
      </c>
      <c r="E304" s="182">
        <v>50</v>
      </c>
      <c r="F304" s="182">
        <v>443</v>
      </c>
      <c r="G304" s="176">
        <f t="shared" si="8"/>
        <v>4.6451520000000004</v>
      </c>
      <c r="H304" s="176">
        <f t="shared" si="9"/>
        <v>12.544363220999999</v>
      </c>
      <c r="I304" s="177" t="s">
        <v>1492</v>
      </c>
      <c r="J304" s="178"/>
    </row>
    <row r="305" spans="1:10" ht="14.9" customHeight="1">
      <c r="A305" s="173">
        <v>3.8210000000000002</v>
      </c>
      <c r="B305" s="174" t="s">
        <v>732</v>
      </c>
      <c r="C305" s="174" t="s">
        <v>1805</v>
      </c>
      <c r="D305" s="183" t="s">
        <v>1507</v>
      </c>
      <c r="E305" s="182">
        <v>597</v>
      </c>
      <c r="F305" s="182">
        <v>5970</v>
      </c>
      <c r="G305" s="176">
        <f t="shared" si="8"/>
        <v>55.463114880000006</v>
      </c>
      <c r="H305" s="176">
        <f t="shared" si="9"/>
        <v>169.05157659</v>
      </c>
      <c r="I305" s="177" t="s">
        <v>1492</v>
      </c>
      <c r="J305" s="178"/>
    </row>
    <row r="306" spans="1:10" ht="14.9" customHeight="1">
      <c r="A306" s="173">
        <v>3.8210000000000002</v>
      </c>
      <c r="B306" s="174" t="s">
        <v>731</v>
      </c>
      <c r="C306" s="174" t="s">
        <v>1805</v>
      </c>
      <c r="D306" s="183" t="s">
        <v>1507</v>
      </c>
      <c r="E306" s="182">
        <v>280</v>
      </c>
      <c r="F306" s="182">
        <v>2384</v>
      </c>
      <c r="G306" s="176">
        <f t="shared" si="8"/>
        <v>26.0128512</v>
      </c>
      <c r="H306" s="176">
        <f t="shared" si="9"/>
        <v>67.507363248000004</v>
      </c>
      <c r="I306" s="177" t="s">
        <v>1492</v>
      </c>
      <c r="J306" s="178"/>
    </row>
    <row r="307" spans="1:10" ht="14.9" customHeight="1">
      <c r="A307" s="173">
        <v>3.8210000000000002</v>
      </c>
      <c r="B307" s="174" t="s">
        <v>730</v>
      </c>
      <c r="C307" s="174" t="s">
        <v>1805</v>
      </c>
      <c r="D307" s="183" t="s">
        <v>1507</v>
      </c>
      <c r="E307" s="182">
        <v>128</v>
      </c>
      <c r="F307" s="182">
        <v>1088</v>
      </c>
      <c r="G307" s="176">
        <f t="shared" si="8"/>
        <v>11.891589120000001</v>
      </c>
      <c r="H307" s="176">
        <f t="shared" si="9"/>
        <v>30.808729535999998</v>
      </c>
      <c r="I307" s="177" t="s">
        <v>1492</v>
      </c>
      <c r="J307" s="178"/>
    </row>
    <row r="308" spans="1:10" ht="14.9" customHeight="1">
      <c r="A308" s="173">
        <v>3.8210000000000002</v>
      </c>
      <c r="B308" s="174" t="s">
        <v>729</v>
      </c>
      <c r="C308" s="174" t="s">
        <v>1805</v>
      </c>
      <c r="D308" s="183" t="s">
        <v>1507</v>
      </c>
      <c r="E308" s="182">
        <v>77</v>
      </c>
      <c r="F308" s="182">
        <v>655</v>
      </c>
      <c r="G308" s="176">
        <f t="shared" si="8"/>
        <v>7.1535340800000009</v>
      </c>
      <c r="H308" s="176">
        <f t="shared" si="9"/>
        <v>18.547534785</v>
      </c>
      <c r="I308" s="177" t="s">
        <v>1492</v>
      </c>
      <c r="J308" s="178"/>
    </row>
    <row r="309" spans="1:10" ht="14.9" customHeight="1">
      <c r="A309" s="173">
        <v>3.8210000000000002</v>
      </c>
      <c r="B309" s="174" t="s">
        <v>728</v>
      </c>
      <c r="C309" s="174" t="s">
        <v>1805</v>
      </c>
      <c r="D309" s="183" t="s">
        <v>1507</v>
      </c>
      <c r="E309" s="182">
        <v>49</v>
      </c>
      <c r="F309" s="182">
        <v>449</v>
      </c>
      <c r="G309" s="176">
        <f t="shared" si="8"/>
        <v>4.55224896</v>
      </c>
      <c r="H309" s="176">
        <f t="shared" si="9"/>
        <v>12.714264303</v>
      </c>
      <c r="I309" s="177" t="s">
        <v>1492</v>
      </c>
      <c r="J309" s="178"/>
    </row>
    <row r="310" spans="1:10" ht="14.9" customHeight="1">
      <c r="A310" s="173">
        <v>3.8210000000000002</v>
      </c>
      <c r="B310" s="174" t="s">
        <v>727</v>
      </c>
      <c r="C310" s="174" t="s">
        <v>1805</v>
      </c>
      <c r="D310" s="183" t="s">
        <v>1507</v>
      </c>
      <c r="E310" s="182">
        <v>68</v>
      </c>
      <c r="F310" s="182">
        <v>714</v>
      </c>
      <c r="G310" s="176">
        <f t="shared" si="8"/>
        <v>6.3174067200000001</v>
      </c>
      <c r="H310" s="176">
        <f t="shared" si="9"/>
        <v>20.218228757999999</v>
      </c>
      <c r="I310" s="177" t="s">
        <v>1492</v>
      </c>
      <c r="J310" s="178"/>
    </row>
    <row r="311" spans="1:10" ht="14.9" customHeight="1">
      <c r="A311" s="173">
        <v>3.8210000000000002</v>
      </c>
      <c r="B311" s="174" t="s">
        <v>695</v>
      </c>
      <c r="C311" s="174" t="s">
        <v>1807</v>
      </c>
      <c r="D311" s="183" t="s">
        <v>1507</v>
      </c>
      <c r="E311" s="182">
        <v>46</v>
      </c>
      <c r="F311" s="182">
        <v>747</v>
      </c>
      <c r="G311" s="176">
        <f t="shared" si="8"/>
        <v>4.2735398400000006</v>
      </c>
      <c r="H311" s="176">
        <f t="shared" si="9"/>
        <v>21.152684708999999</v>
      </c>
      <c r="I311" s="177" t="s">
        <v>1503</v>
      </c>
      <c r="J311" s="178"/>
    </row>
    <row r="312" spans="1:10" ht="14.9" customHeight="1">
      <c r="A312" s="173">
        <v>3.8210000000000002</v>
      </c>
      <c r="B312" s="174" t="s">
        <v>1808</v>
      </c>
      <c r="C312" s="174" t="s">
        <v>1807</v>
      </c>
      <c r="D312" s="183" t="s">
        <v>1507</v>
      </c>
      <c r="E312" s="182">
        <v>14</v>
      </c>
      <c r="F312" s="182">
        <v>130</v>
      </c>
      <c r="G312" s="176">
        <f t="shared" si="8"/>
        <v>1.30064256</v>
      </c>
      <c r="H312" s="176">
        <f t="shared" si="9"/>
        <v>3.6811901099999997</v>
      </c>
      <c r="I312" s="177" t="s">
        <v>1492</v>
      </c>
      <c r="J312" s="178"/>
    </row>
    <row r="313" spans="1:10" ht="14.9" customHeight="1">
      <c r="A313" s="173">
        <v>3.8210000000000002</v>
      </c>
      <c r="B313" s="174" t="s">
        <v>725</v>
      </c>
      <c r="C313" s="174" t="s">
        <v>1805</v>
      </c>
      <c r="D313" s="183" t="s">
        <v>1507</v>
      </c>
      <c r="E313" s="182">
        <v>68</v>
      </c>
      <c r="F313" s="182">
        <v>202</v>
      </c>
      <c r="G313" s="176">
        <f t="shared" si="8"/>
        <v>6.3174067200000001</v>
      </c>
      <c r="H313" s="176">
        <f t="shared" si="9"/>
        <v>5.720003094</v>
      </c>
      <c r="I313" s="177" t="s">
        <v>1556</v>
      </c>
      <c r="J313" s="178" t="s">
        <v>1557</v>
      </c>
    </row>
    <row r="314" spans="1:10" ht="14.9" customHeight="1">
      <c r="A314" s="173">
        <v>3.8210000000000002</v>
      </c>
      <c r="B314" s="174" t="s">
        <v>1809</v>
      </c>
      <c r="C314" s="174" t="s">
        <v>1805</v>
      </c>
      <c r="D314" s="183" t="s">
        <v>1507</v>
      </c>
      <c r="E314" s="182">
        <v>268</v>
      </c>
      <c r="F314" s="182">
        <v>2834</v>
      </c>
      <c r="G314" s="176">
        <f t="shared" si="8"/>
        <v>24.898014720000003</v>
      </c>
      <c r="H314" s="176">
        <f t="shared" si="9"/>
        <v>80.249944397999997</v>
      </c>
      <c r="I314" s="177" t="s">
        <v>1503</v>
      </c>
      <c r="J314" s="178" t="s">
        <v>1553</v>
      </c>
    </row>
    <row r="315" spans="1:10" ht="14.9" customHeight="1">
      <c r="A315" s="179">
        <v>3.8210000000000002</v>
      </c>
      <c r="B315" s="180" t="s">
        <v>724</v>
      </c>
      <c r="C315" s="180" t="s">
        <v>1805</v>
      </c>
      <c r="D315" s="183" t="s">
        <v>1507</v>
      </c>
      <c r="E315" s="182">
        <v>141</v>
      </c>
      <c r="F315" s="182">
        <v>1455</v>
      </c>
      <c r="G315" s="176">
        <f t="shared" si="8"/>
        <v>13.099328640000001</v>
      </c>
      <c r="H315" s="176">
        <f t="shared" si="9"/>
        <v>41.201012384999999</v>
      </c>
      <c r="I315" s="177" t="s">
        <v>1492</v>
      </c>
      <c r="J315" s="178"/>
    </row>
    <row r="316" spans="1:10" ht="14.9" customHeight="1">
      <c r="A316" s="173">
        <v>3.8210000000000002</v>
      </c>
      <c r="B316" s="174" t="s">
        <v>1810</v>
      </c>
      <c r="C316" s="174" t="s">
        <v>1805</v>
      </c>
      <c r="D316" s="175">
        <v>1</v>
      </c>
      <c r="E316" s="175">
        <v>587</v>
      </c>
      <c r="F316" s="175">
        <v>9227</v>
      </c>
      <c r="G316" s="176">
        <f t="shared" si="8"/>
        <v>54.534084480000004</v>
      </c>
      <c r="H316" s="176">
        <f t="shared" si="9"/>
        <v>261.27954726899998</v>
      </c>
      <c r="I316" s="177" t="s">
        <v>1492</v>
      </c>
      <c r="J316" s="178"/>
    </row>
    <row r="317" spans="1:10" ht="14.9" customHeight="1">
      <c r="A317" s="173">
        <v>3.8210000000000002</v>
      </c>
      <c r="B317" s="174" t="s">
        <v>1811</v>
      </c>
      <c r="C317" s="174" t="s">
        <v>1805</v>
      </c>
      <c r="D317" s="175">
        <v>1</v>
      </c>
      <c r="E317" s="175">
        <v>721</v>
      </c>
      <c r="F317" s="175">
        <v>7279</v>
      </c>
      <c r="G317" s="176">
        <f t="shared" si="8"/>
        <v>66.98309184</v>
      </c>
      <c r="H317" s="176">
        <f t="shared" si="9"/>
        <v>206.118329313</v>
      </c>
      <c r="I317" s="177" t="s">
        <v>1492</v>
      </c>
      <c r="J317" s="178"/>
    </row>
    <row r="318" spans="1:10" ht="14.9" customHeight="1">
      <c r="A318" s="173">
        <v>3.8210000000000002</v>
      </c>
      <c r="B318" s="174" t="s">
        <v>721</v>
      </c>
      <c r="C318" s="174" t="s">
        <v>1805</v>
      </c>
      <c r="D318" s="175">
        <v>1</v>
      </c>
      <c r="E318" s="175">
        <v>126</v>
      </c>
      <c r="F318" s="175">
        <v>1635</v>
      </c>
      <c r="G318" s="176">
        <f t="shared" si="8"/>
        <v>11.70578304</v>
      </c>
      <c r="H318" s="176">
        <f t="shared" si="9"/>
        <v>46.298044845</v>
      </c>
      <c r="I318" s="177" t="s">
        <v>1492</v>
      </c>
      <c r="J318" s="178"/>
    </row>
    <row r="319" spans="1:10" ht="14.9" customHeight="1">
      <c r="A319" s="173">
        <v>3.8210000000000002</v>
      </c>
      <c r="B319" s="174" t="s">
        <v>720</v>
      </c>
      <c r="C319" s="174" t="s">
        <v>1805</v>
      </c>
      <c r="D319" s="175">
        <v>1</v>
      </c>
      <c r="E319" s="175">
        <v>126</v>
      </c>
      <c r="F319" s="175">
        <v>1635</v>
      </c>
      <c r="G319" s="176">
        <f t="shared" si="8"/>
        <v>11.70578304</v>
      </c>
      <c r="H319" s="176">
        <f t="shared" si="9"/>
        <v>46.298044845</v>
      </c>
      <c r="I319" s="177" t="s">
        <v>1492</v>
      </c>
      <c r="J319" s="178"/>
    </row>
    <row r="320" spans="1:10" ht="14.9" customHeight="1">
      <c r="A320" s="173">
        <v>3.8210000000000002</v>
      </c>
      <c r="B320" s="174" t="s">
        <v>719</v>
      </c>
      <c r="C320" s="174" t="s">
        <v>1805</v>
      </c>
      <c r="D320" s="175">
        <v>1</v>
      </c>
      <c r="E320" s="175">
        <v>132</v>
      </c>
      <c r="F320" s="175">
        <v>1391</v>
      </c>
      <c r="G320" s="176">
        <f t="shared" si="8"/>
        <v>12.263201280000001</v>
      </c>
      <c r="H320" s="176">
        <f t="shared" si="9"/>
        <v>39.388734176999996</v>
      </c>
      <c r="I320" s="177" t="s">
        <v>1492</v>
      </c>
      <c r="J320" s="178"/>
    </row>
    <row r="321" spans="1:10" ht="14.9" customHeight="1">
      <c r="A321" s="173">
        <v>3.8210000000000002</v>
      </c>
      <c r="B321" s="174" t="s">
        <v>1812</v>
      </c>
      <c r="C321" s="174" t="s">
        <v>1805</v>
      </c>
      <c r="D321" s="175">
        <v>1</v>
      </c>
      <c r="E321" s="175">
        <v>131</v>
      </c>
      <c r="F321" s="175">
        <v>1386</v>
      </c>
      <c r="G321" s="176">
        <f t="shared" si="8"/>
        <v>12.170298240000001</v>
      </c>
      <c r="H321" s="176">
        <f t="shared" si="9"/>
        <v>39.247149942</v>
      </c>
      <c r="I321" s="177" t="s">
        <v>1492</v>
      </c>
      <c r="J321" s="178"/>
    </row>
    <row r="322" spans="1:10" ht="14.9" customHeight="1">
      <c r="A322" s="173">
        <v>3.8210000000000002</v>
      </c>
      <c r="B322" s="174" t="s">
        <v>717</v>
      </c>
      <c r="C322" s="174" t="s">
        <v>1805</v>
      </c>
      <c r="D322" s="175">
        <v>1</v>
      </c>
      <c r="E322" s="175">
        <v>777</v>
      </c>
      <c r="F322" s="175">
        <v>8038</v>
      </c>
      <c r="G322" s="176">
        <f t="shared" si="8"/>
        <v>72.18566208</v>
      </c>
      <c r="H322" s="176">
        <f t="shared" si="9"/>
        <v>227.61081618599999</v>
      </c>
      <c r="I322" s="177" t="s">
        <v>1492</v>
      </c>
      <c r="J322" s="178"/>
    </row>
    <row r="323" spans="1:10" ht="14.9" customHeight="1">
      <c r="A323" s="173">
        <v>3.8210000000000002</v>
      </c>
      <c r="B323" s="174" t="s">
        <v>748</v>
      </c>
      <c r="C323" s="174" t="s">
        <v>1807</v>
      </c>
      <c r="D323" s="175">
        <v>1</v>
      </c>
      <c r="E323" s="175">
        <v>87</v>
      </c>
      <c r="F323" s="175">
        <v>811</v>
      </c>
      <c r="G323" s="176">
        <f t="shared" si="8"/>
        <v>8.0825644800000003</v>
      </c>
      <c r="H323" s="176">
        <f t="shared" si="9"/>
        <v>22.964962916999998</v>
      </c>
      <c r="I323" s="177" t="s">
        <v>1492</v>
      </c>
      <c r="J323" s="178"/>
    </row>
    <row r="324" spans="1:10" ht="14.9" customHeight="1">
      <c r="A324" s="173">
        <v>3.8210000000000002</v>
      </c>
      <c r="B324" s="174" t="s">
        <v>716</v>
      </c>
      <c r="C324" s="174" t="s">
        <v>1805</v>
      </c>
      <c r="D324" s="175">
        <v>1</v>
      </c>
      <c r="E324" s="175">
        <v>158</v>
      </c>
      <c r="F324" s="175">
        <v>1646</v>
      </c>
      <c r="G324" s="176">
        <f t="shared" si="8"/>
        <v>14.678680320000002</v>
      </c>
      <c r="H324" s="176">
        <f t="shared" si="9"/>
        <v>46.609530161999999</v>
      </c>
      <c r="I324" s="177" t="s">
        <v>1492</v>
      </c>
      <c r="J324" s="178"/>
    </row>
    <row r="325" spans="1:10" ht="14.9" customHeight="1">
      <c r="A325" s="173">
        <v>3.8210000000000002</v>
      </c>
      <c r="B325" s="174" t="s">
        <v>715</v>
      </c>
      <c r="C325" s="174" t="s">
        <v>1805</v>
      </c>
      <c r="D325" s="175">
        <v>1</v>
      </c>
      <c r="E325" s="175">
        <v>138</v>
      </c>
      <c r="F325" s="175">
        <v>1508</v>
      </c>
      <c r="G325" s="176">
        <f t="shared" ref="G325:G388" si="10">E325*0.09290304</f>
        <v>12.820619520000001</v>
      </c>
      <c r="H325" s="176">
        <f t="shared" ref="H325:H388" si="11">F325*0.028316847</f>
        <v>42.701805276000002</v>
      </c>
      <c r="I325" s="177" t="s">
        <v>1492</v>
      </c>
      <c r="J325" s="178"/>
    </row>
    <row r="326" spans="1:10" ht="14.9" customHeight="1">
      <c r="A326" s="173">
        <v>3.8210000000000002</v>
      </c>
      <c r="B326" s="174" t="s">
        <v>714</v>
      </c>
      <c r="C326" s="174" t="s">
        <v>1805</v>
      </c>
      <c r="D326" s="175">
        <v>1</v>
      </c>
      <c r="E326" s="175">
        <v>377</v>
      </c>
      <c r="F326" s="175">
        <v>3682</v>
      </c>
      <c r="G326" s="176">
        <f t="shared" si="10"/>
        <v>35.024446080000004</v>
      </c>
      <c r="H326" s="176">
        <f t="shared" si="11"/>
        <v>104.26263065399999</v>
      </c>
      <c r="I326" s="177" t="s">
        <v>1492</v>
      </c>
      <c r="J326" s="178"/>
    </row>
    <row r="327" spans="1:10" ht="14.9" customHeight="1">
      <c r="A327" s="173">
        <v>3.8210000000000002</v>
      </c>
      <c r="B327" s="174" t="s">
        <v>713</v>
      </c>
      <c r="C327" s="174" t="s">
        <v>1805</v>
      </c>
      <c r="D327" s="175">
        <v>1</v>
      </c>
      <c r="E327" s="175">
        <v>320</v>
      </c>
      <c r="F327" s="175">
        <v>3081</v>
      </c>
      <c r="G327" s="176">
        <f t="shared" si="10"/>
        <v>29.728972800000001</v>
      </c>
      <c r="H327" s="176">
        <f t="shared" si="11"/>
        <v>87.244205606999998</v>
      </c>
      <c r="I327" s="177" t="s">
        <v>1492</v>
      </c>
      <c r="J327" s="178"/>
    </row>
    <row r="328" spans="1:10" ht="14.9" customHeight="1">
      <c r="A328" s="173">
        <v>3.8210000000000002</v>
      </c>
      <c r="B328" s="174" t="s">
        <v>694</v>
      </c>
      <c r="C328" s="174" t="s">
        <v>1807</v>
      </c>
      <c r="D328" s="175">
        <v>1</v>
      </c>
      <c r="E328" s="175">
        <v>36</v>
      </c>
      <c r="F328" s="175">
        <v>326</v>
      </c>
      <c r="G328" s="176">
        <f t="shared" si="10"/>
        <v>3.3445094400000004</v>
      </c>
      <c r="H328" s="176">
        <f t="shared" si="11"/>
        <v>9.2312921219999993</v>
      </c>
      <c r="I328" s="177" t="s">
        <v>1492</v>
      </c>
      <c r="J328" s="178"/>
    </row>
    <row r="329" spans="1:10" ht="14.9" customHeight="1">
      <c r="A329" s="173">
        <v>3.8210000000000002</v>
      </c>
      <c r="B329" s="174" t="s">
        <v>712</v>
      </c>
      <c r="C329" s="174" t="s">
        <v>1805</v>
      </c>
      <c r="D329" s="175">
        <v>1</v>
      </c>
      <c r="E329" s="175">
        <v>661</v>
      </c>
      <c r="F329" s="175">
        <v>4239</v>
      </c>
      <c r="G329" s="176">
        <f t="shared" si="10"/>
        <v>61.408909440000002</v>
      </c>
      <c r="H329" s="176">
        <f t="shared" si="11"/>
        <v>120.03511443299999</v>
      </c>
      <c r="I329" s="177" t="s">
        <v>1492</v>
      </c>
      <c r="J329" s="178"/>
    </row>
    <row r="330" spans="1:10" ht="14.9" customHeight="1">
      <c r="A330" s="173">
        <v>3.8210000000000002</v>
      </c>
      <c r="B330" s="174" t="s">
        <v>693</v>
      </c>
      <c r="C330" s="174" t="s">
        <v>1807</v>
      </c>
      <c r="D330" s="175">
        <v>1</v>
      </c>
      <c r="E330" s="175">
        <v>16</v>
      </c>
      <c r="F330" s="175">
        <v>148</v>
      </c>
      <c r="G330" s="176">
        <f t="shared" si="10"/>
        <v>1.4864486400000001</v>
      </c>
      <c r="H330" s="176">
        <f t="shared" si="11"/>
        <v>4.1908933560000001</v>
      </c>
      <c r="I330" s="177" t="s">
        <v>1492</v>
      </c>
      <c r="J330" s="178"/>
    </row>
    <row r="331" spans="1:10" ht="14.9" customHeight="1">
      <c r="A331" s="173">
        <v>3.8210000000000002</v>
      </c>
      <c r="B331" s="174" t="s">
        <v>692</v>
      </c>
      <c r="C331" s="174" t="s">
        <v>1807</v>
      </c>
      <c r="D331" s="175">
        <v>1</v>
      </c>
      <c r="E331" s="175">
        <v>40</v>
      </c>
      <c r="F331" s="175">
        <v>360</v>
      </c>
      <c r="G331" s="176">
        <f t="shared" si="10"/>
        <v>3.7161216000000001</v>
      </c>
      <c r="H331" s="176">
        <f t="shared" si="11"/>
        <v>10.194064919999999</v>
      </c>
      <c r="I331" s="177" t="s">
        <v>1492</v>
      </c>
      <c r="J331" s="178"/>
    </row>
    <row r="332" spans="1:10" ht="14.9" customHeight="1">
      <c r="A332" s="173">
        <v>3.8210000000000002</v>
      </c>
      <c r="B332" s="174" t="s">
        <v>691</v>
      </c>
      <c r="C332" s="174" t="s">
        <v>1807</v>
      </c>
      <c r="D332" s="175">
        <v>1</v>
      </c>
      <c r="E332" s="175">
        <v>26</v>
      </c>
      <c r="F332" s="175">
        <v>235</v>
      </c>
      <c r="G332" s="176">
        <f t="shared" si="10"/>
        <v>2.4154790400000001</v>
      </c>
      <c r="H332" s="176">
        <f t="shared" si="11"/>
        <v>6.6544590449999994</v>
      </c>
      <c r="I332" s="177" t="s">
        <v>1492</v>
      </c>
      <c r="J332" s="178"/>
    </row>
    <row r="333" spans="1:10" ht="14.9" customHeight="1">
      <c r="A333" s="173">
        <v>3.8210000000000002</v>
      </c>
      <c r="B333" s="174" t="s">
        <v>1813</v>
      </c>
      <c r="C333" s="174" t="s">
        <v>1805</v>
      </c>
      <c r="D333" s="175">
        <v>1</v>
      </c>
      <c r="E333" s="182">
        <v>75</v>
      </c>
      <c r="F333" s="182">
        <v>823</v>
      </c>
      <c r="G333" s="176">
        <f t="shared" si="10"/>
        <v>6.9677280000000001</v>
      </c>
      <c r="H333" s="176">
        <f t="shared" si="11"/>
        <v>23.304765080999999</v>
      </c>
      <c r="I333" s="177" t="s">
        <v>1492</v>
      </c>
      <c r="J333" s="178"/>
    </row>
    <row r="334" spans="1:10" ht="14.9" customHeight="1">
      <c r="A334" s="173">
        <v>3.8210000000000002</v>
      </c>
      <c r="B334" s="174" t="s">
        <v>1814</v>
      </c>
      <c r="C334" s="174" t="s">
        <v>1805</v>
      </c>
      <c r="D334" s="175">
        <v>2</v>
      </c>
      <c r="E334" s="175">
        <v>67</v>
      </c>
      <c r="F334" s="175">
        <v>680</v>
      </c>
      <c r="G334" s="176">
        <f t="shared" si="10"/>
        <v>6.2245036800000006</v>
      </c>
      <c r="H334" s="176">
        <f t="shared" si="11"/>
        <v>19.255455959999999</v>
      </c>
      <c r="I334" s="177" t="s">
        <v>1492</v>
      </c>
      <c r="J334" s="178"/>
    </row>
    <row r="335" spans="1:10" ht="14.9" customHeight="1">
      <c r="A335" s="173">
        <v>3.8210000000000002</v>
      </c>
      <c r="B335" s="174" t="s">
        <v>690</v>
      </c>
      <c r="C335" s="174" t="s">
        <v>1807</v>
      </c>
      <c r="D335" s="175">
        <v>2</v>
      </c>
      <c r="E335" s="175">
        <v>93</v>
      </c>
      <c r="F335" s="175">
        <v>1049</v>
      </c>
      <c r="G335" s="176">
        <f t="shared" si="10"/>
        <v>8.6399827200000008</v>
      </c>
      <c r="H335" s="176">
        <f t="shared" si="11"/>
        <v>29.704372502999998</v>
      </c>
      <c r="I335" s="177" t="s">
        <v>1492</v>
      </c>
      <c r="J335" s="178"/>
    </row>
    <row r="336" spans="1:10" ht="14.9" customHeight="1">
      <c r="A336" s="173">
        <v>3.8210000000000002</v>
      </c>
      <c r="B336" s="174" t="s">
        <v>689</v>
      </c>
      <c r="C336" s="174" t="s">
        <v>1807</v>
      </c>
      <c r="D336" s="175">
        <v>2</v>
      </c>
      <c r="E336" s="175">
        <v>155</v>
      </c>
      <c r="F336" s="175">
        <v>1599</v>
      </c>
      <c r="G336" s="176">
        <f t="shared" si="10"/>
        <v>14.399971200000001</v>
      </c>
      <c r="H336" s="176">
        <f t="shared" si="11"/>
        <v>45.278638352999998</v>
      </c>
      <c r="I336" s="177" t="s">
        <v>1492</v>
      </c>
      <c r="J336" s="178"/>
    </row>
    <row r="337" spans="1:10" ht="14.9" customHeight="1">
      <c r="A337" s="173">
        <v>3.8210000000000002</v>
      </c>
      <c r="B337" s="174" t="s">
        <v>1815</v>
      </c>
      <c r="C337" s="174" t="s">
        <v>1807</v>
      </c>
      <c r="D337" s="175">
        <v>2</v>
      </c>
      <c r="E337" s="175">
        <v>33</v>
      </c>
      <c r="F337" s="175">
        <v>303</v>
      </c>
      <c r="G337" s="176">
        <f t="shared" si="10"/>
        <v>3.0658003200000001</v>
      </c>
      <c r="H337" s="176">
        <f t="shared" si="11"/>
        <v>8.5800046410000004</v>
      </c>
      <c r="I337" s="177" t="s">
        <v>1492</v>
      </c>
      <c r="J337" s="178"/>
    </row>
    <row r="338" spans="1:10" ht="14.9" customHeight="1">
      <c r="A338" s="173">
        <v>3.8210000000000002</v>
      </c>
      <c r="B338" s="174" t="s">
        <v>688</v>
      </c>
      <c r="C338" s="174" t="s">
        <v>1807</v>
      </c>
      <c r="D338" s="175">
        <v>2</v>
      </c>
      <c r="E338" s="175">
        <v>36</v>
      </c>
      <c r="F338" s="175">
        <v>324</v>
      </c>
      <c r="G338" s="176">
        <f t="shared" si="10"/>
        <v>3.3445094400000004</v>
      </c>
      <c r="H338" s="176">
        <f t="shared" si="11"/>
        <v>9.174658427999999</v>
      </c>
      <c r="I338" s="177" t="s">
        <v>1492</v>
      </c>
      <c r="J338" s="178"/>
    </row>
    <row r="339" spans="1:10" ht="14.9" customHeight="1">
      <c r="A339" s="173">
        <v>3.8210000000000002</v>
      </c>
      <c r="B339" s="174" t="s">
        <v>687</v>
      </c>
      <c r="C339" s="174" t="s">
        <v>1807</v>
      </c>
      <c r="D339" s="175">
        <v>2</v>
      </c>
      <c r="E339" s="175">
        <v>65</v>
      </c>
      <c r="F339" s="175">
        <v>755</v>
      </c>
      <c r="G339" s="176">
        <f t="shared" si="10"/>
        <v>6.0386976000000008</v>
      </c>
      <c r="H339" s="176">
        <f t="shared" si="11"/>
        <v>21.379219485</v>
      </c>
      <c r="I339" s="177" t="s">
        <v>1492</v>
      </c>
      <c r="J339" s="178"/>
    </row>
    <row r="340" spans="1:10" ht="14.9" customHeight="1">
      <c r="A340" s="173">
        <v>3.8210000000000002</v>
      </c>
      <c r="B340" s="174" t="s">
        <v>686</v>
      </c>
      <c r="C340" s="174" t="s">
        <v>1807</v>
      </c>
      <c r="D340" s="175">
        <v>2</v>
      </c>
      <c r="E340" s="175">
        <v>63</v>
      </c>
      <c r="F340" s="175">
        <v>573</v>
      </c>
      <c r="G340" s="176">
        <f t="shared" si="10"/>
        <v>5.85289152</v>
      </c>
      <c r="H340" s="176">
        <f t="shared" si="11"/>
        <v>16.225553331</v>
      </c>
      <c r="I340" s="177" t="s">
        <v>1492</v>
      </c>
      <c r="J340" s="178"/>
    </row>
    <row r="341" spans="1:10" ht="14.9" customHeight="1">
      <c r="A341" s="173">
        <v>3.8210000000000002</v>
      </c>
      <c r="B341" s="174" t="s">
        <v>709</v>
      </c>
      <c r="C341" s="174" t="s">
        <v>1805</v>
      </c>
      <c r="D341" s="175">
        <v>2</v>
      </c>
      <c r="E341" s="175">
        <v>121</v>
      </c>
      <c r="F341" s="175">
        <v>1163</v>
      </c>
      <c r="G341" s="176">
        <f t="shared" si="10"/>
        <v>11.241267840000001</v>
      </c>
      <c r="H341" s="176">
        <f t="shared" si="11"/>
        <v>32.932493061000002</v>
      </c>
      <c r="I341" s="177" t="s">
        <v>1492</v>
      </c>
      <c r="J341" s="178"/>
    </row>
    <row r="342" spans="1:10" ht="14.9" customHeight="1">
      <c r="A342" s="173">
        <v>3.8210000000000002</v>
      </c>
      <c r="B342" s="174" t="s">
        <v>708</v>
      </c>
      <c r="C342" s="174" t="s">
        <v>1805</v>
      </c>
      <c r="D342" s="175">
        <v>2</v>
      </c>
      <c r="E342" s="175">
        <v>169</v>
      </c>
      <c r="F342" s="175">
        <v>1547</v>
      </c>
      <c r="G342" s="176">
        <f t="shared" si="10"/>
        <v>15.700613760000001</v>
      </c>
      <c r="H342" s="176">
        <f t="shared" si="11"/>
        <v>43.806162309000001</v>
      </c>
      <c r="I342" s="177" t="s">
        <v>1492</v>
      </c>
      <c r="J342" s="178"/>
    </row>
    <row r="343" spans="1:10" ht="14.9" customHeight="1">
      <c r="A343" s="173">
        <v>3.8210000000000002</v>
      </c>
      <c r="B343" s="174" t="s">
        <v>707</v>
      </c>
      <c r="C343" s="174" t="s">
        <v>1805</v>
      </c>
      <c r="D343" s="175">
        <v>2</v>
      </c>
      <c r="E343" s="175">
        <v>215</v>
      </c>
      <c r="F343" s="175">
        <v>2006</v>
      </c>
      <c r="G343" s="176">
        <f t="shared" si="10"/>
        <v>19.974153600000001</v>
      </c>
      <c r="H343" s="176">
        <f t="shared" si="11"/>
        <v>56.803595082000001</v>
      </c>
      <c r="I343" s="177" t="s">
        <v>1492</v>
      </c>
      <c r="J343" s="178"/>
    </row>
    <row r="344" spans="1:10" ht="14.9" customHeight="1">
      <c r="A344" s="173">
        <v>3.8210000000000002</v>
      </c>
      <c r="B344" s="174" t="s">
        <v>706</v>
      </c>
      <c r="C344" s="174" t="s">
        <v>1805</v>
      </c>
      <c r="D344" s="175">
        <v>2</v>
      </c>
      <c r="E344" s="175">
        <v>206</v>
      </c>
      <c r="F344" s="175">
        <v>1925</v>
      </c>
      <c r="G344" s="176">
        <f t="shared" si="10"/>
        <v>19.138026240000002</v>
      </c>
      <c r="H344" s="176">
        <f t="shared" si="11"/>
        <v>54.509930474999997</v>
      </c>
      <c r="I344" s="177" t="s">
        <v>1492</v>
      </c>
      <c r="J344" s="178"/>
    </row>
    <row r="345" spans="1:10" ht="14.9" customHeight="1">
      <c r="A345" s="173">
        <v>3.8210000000000002</v>
      </c>
      <c r="B345" s="174" t="s">
        <v>705</v>
      </c>
      <c r="C345" s="174" t="s">
        <v>1805</v>
      </c>
      <c r="D345" s="175">
        <v>2</v>
      </c>
      <c r="E345" s="175">
        <v>508</v>
      </c>
      <c r="F345" s="175">
        <v>4658</v>
      </c>
      <c r="G345" s="176">
        <f t="shared" si="10"/>
        <v>47.194744320000005</v>
      </c>
      <c r="H345" s="176">
        <f t="shared" si="11"/>
        <v>131.89987332600001</v>
      </c>
      <c r="I345" s="177" t="s">
        <v>1492</v>
      </c>
      <c r="J345" s="178"/>
    </row>
    <row r="346" spans="1:10" ht="14.9" customHeight="1">
      <c r="A346" s="173">
        <v>3.8210000000000002</v>
      </c>
      <c r="B346" s="174" t="s">
        <v>704</v>
      </c>
      <c r="C346" s="174" t="s">
        <v>1805</v>
      </c>
      <c r="D346" s="175">
        <v>2</v>
      </c>
      <c r="E346" s="175">
        <v>36</v>
      </c>
      <c r="F346" s="175">
        <v>327</v>
      </c>
      <c r="G346" s="176">
        <f t="shared" si="10"/>
        <v>3.3445094400000004</v>
      </c>
      <c r="H346" s="176">
        <f t="shared" si="11"/>
        <v>9.2596089690000003</v>
      </c>
      <c r="I346" s="177" t="s">
        <v>1492</v>
      </c>
      <c r="J346" s="178"/>
    </row>
    <row r="347" spans="1:10" ht="14.9" customHeight="1">
      <c r="A347" s="173">
        <v>3.8210000000000002</v>
      </c>
      <c r="B347" s="174" t="s">
        <v>703</v>
      </c>
      <c r="C347" s="174" t="s">
        <v>1805</v>
      </c>
      <c r="D347" s="175">
        <v>2</v>
      </c>
      <c r="E347" s="175">
        <v>95</v>
      </c>
      <c r="F347" s="175">
        <v>1021</v>
      </c>
      <c r="G347" s="176">
        <f t="shared" si="10"/>
        <v>8.8257887999999998</v>
      </c>
      <c r="H347" s="176">
        <f t="shared" si="11"/>
        <v>28.911500786999998</v>
      </c>
      <c r="I347" s="177" t="s">
        <v>1492</v>
      </c>
      <c r="J347" s="178"/>
    </row>
    <row r="348" spans="1:10" ht="14.9" customHeight="1">
      <c r="A348" s="173">
        <v>3.8210000000000002</v>
      </c>
      <c r="B348" s="174" t="s">
        <v>685</v>
      </c>
      <c r="C348" s="174" t="s">
        <v>1807</v>
      </c>
      <c r="D348" s="175">
        <v>2</v>
      </c>
      <c r="E348" s="175">
        <v>10</v>
      </c>
      <c r="F348" s="175">
        <v>92</v>
      </c>
      <c r="G348" s="176">
        <f t="shared" si="10"/>
        <v>0.92903040000000003</v>
      </c>
      <c r="H348" s="176">
        <f t="shared" si="11"/>
        <v>2.605149924</v>
      </c>
      <c r="I348" s="177" t="s">
        <v>1492</v>
      </c>
      <c r="J348" s="178"/>
    </row>
    <row r="349" spans="1:10" ht="14.9" customHeight="1">
      <c r="A349" s="173">
        <v>3.8210000000000002</v>
      </c>
      <c r="B349" s="174" t="s">
        <v>1816</v>
      </c>
      <c r="C349" s="174" t="s">
        <v>1807</v>
      </c>
      <c r="D349" s="175">
        <v>3</v>
      </c>
      <c r="E349" s="175">
        <v>16</v>
      </c>
      <c r="F349" s="175">
        <v>512</v>
      </c>
      <c r="G349" s="176">
        <f t="shared" si="10"/>
        <v>1.4864486400000001</v>
      </c>
      <c r="H349" s="176">
        <f t="shared" si="11"/>
        <v>14.498225664</v>
      </c>
      <c r="I349" s="177" t="s">
        <v>1492</v>
      </c>
      <c r="J349" s="178"/>
    </row>
    <row r="350" spans="1:10" ht="14.9" customHeight="1">
      <c r="A350" s="173">
        <v>3.8210000000000002</v>
      </c>
      <c r="B350" s="174" t="s">
        <v>1817</v>
      </c>
      <c r="C350" s="174" t="s">
        <v>1807</v>
      </c>
      <c r="D350" s="175">
        <v>3</v>
      </c>
      <c r="E350" s="175">
        <v>29</v>
      </c>
      <c r="F350" s="175">
        <v>679</v>
      </c>
      <c r="G350" s="176">
        <f t="shared" si="10"/>
        <v>2.6941881600000004</v>
      </c>
      <c r="H350" s="176">
        <f t="shared" si="11"/>
        <v>19.227139113</v>
      </c>
      <c r="I350" s="177" t="s">
        <v>1492</v>
      </c>
      <c r="J350" s="178"/>
    </row>
    <row r="351" spans="1:10" ht="14.9" customHeight="1">
      <c r="A351" s="173">
        <v>3.8210000000000002</v>
      </c>
      <c r="B351" s="174" t="s">
        <v>1818</v>
      </c>
      <c r="C351" s="174" t="s">
        <v>1819</v>
      </c>
      <c r="D351" s="175">
        <v>3</v>
      </c>
      <c r="E351" s="175">
        <v>22</v>
      </c>
      <c r="F351" s="175">
        <v>398</v>
      </c>
      <c r="G351" s="176">
        <f t="shared" si="10"/>
        <v>2.0438668799999999</v>
      </c>
      <c r="H351" s="176">
        <f t="shared" si="11"/>
        <v>11.270105105999999</v>
      </c>
      <c r="I351" s="177" t="s">
        <v>1492</v>
      </c>
      <c r="J351" s="178"/>
    </row>
    <row r="352" spans="1:10" ht="14.9" customHeight="1">
      <c r="A352" s="173">
        <v>3.8210000000000002</v>
      </c>
      <c r="B352" s="174" t="s">
        <v>1820</v>
      </c>
      <c r="C352" s="174" t="s">
        <v>1807</v>
      </c>
      <c r="D352" s="175">
        <v>3</v>
      </c>
      <c r="E352" s="175">
        <v>15</v>
      </c>
      <c r="F352" s="175">
        <v>125</v>
      </c>
      <c r="G352" s="176">
        <f t="shared" si="10"/>
        <v>1.3935456000000002</v>
      </c>
      <c r="H352" s="176">
        <f t="shared" si="11"/>
        <v>3.5396058749999999</v>
      </c>
      <c r="I352" s="177" t="s">
        <v>1492</v>
      </c>
      <c r="J352" s="178"/>
    </row>
    <row r="353" spans="1:10" ht="14.9" customHeight="1">
      <c r="A353" s="173">
        <v>3.8210000000000002</v>
      </c>
      <c r="B353" s="174" t="s">
        <v>680</v>
      </c>
      <c r="C353" s="174" t="s">
        <v>1807</v>
      </c>
      <c r="D353" s="175">
        <v>3</v>
      </c>
      <c r="E353" s="175">
        <v>101</v>
      </c>
      <c r="F353" s="175">
        <v>2099</v>
      </c>
      <c r="G353" s="176">
        <f t="shared" si="10"/>
        <v>9.3832070400000003</v>
      </c>
      <c r="H353" s="176">
        <f t="shared" si="11"/>
        <v>59.437061852999996</v>
      </c>
      <c r="I353" s="177" t="s">
        <v>1492</v>
      </c>
      <c r="J353" s="178"/>
    </row>
    <row r="354" spans="1:10" ht="14.9" customHeight="1">
      <c r="A354" s="173">
        <v>3.8210000000000002</v>
      </c>
      <c r="B354" s="174" t="s">
        <v>679</v>
      </c>
      <c r="C354" s="174" t="s">
        <v>1807</v>
      </c>
      <c r="D354" s="175">
        <v>3</v>
      </c>
      <c r="E354" s="175">
        <v>54</v>
      </c>
      <c r="F354" s="175">
        <v>1200</v>
      </c>
      <c r="G354" s="176">
        <f t="shared" si="10"/>
        <v>5.0167641600000001</v>
      </c>
      <c r="H354" s="176">
        <f t="shared" si="11"/>
        <v>33.980216399999996</v>
      </c>
      <c r="I354" s="177" t="s">
        <v>1492</v>
      </c>
      <c r="J354" s="178"/>
    </row>
    <row r="355" spans="1:10" ht="14.9" customHeight="1">
      <c r="A355" s="173">
        <v>3.8210000000000002</v>
      </c>
      <c r="B355" s="174" t="s">
        <v>678</v>
      </c>
      <c r="C355" s="174" t="s">
        <v>1807</v>
      </c>
      <c r="D355" s="175">
        <v>3</v>
      </c>
      <c r="E355" s="175">
        <v>46</v>
      </c>
      <c r="F355" s="175">
        <v>1350</v>
      </c>
      <c r="G355" s="176">
        <f t="shared" si="10"/>
        <v>4.2735398400000006</v>
      </c>
      <c r="H355" s="176">
        <f t="shared" si="11"/>
        <v>38.227743449999998</v>
      </c>
      <c r="I355" s="177" t="s">
        <v>1492</v>
      </c>
      <c r="J355" s="178"/>
    </row>
    <row r="356" spans="1:10" ht="14.9" customHeight="1">
      <c r="A356" s="173">
        <v>3.8210000000000002</v>
      </c>
      <c r="B356" s="174" t="s">
        <v>676</v>
      </c>
      <c r="C356" s="174" t="s">
        <v>1807</v>
      </c>
      <c r="D356" s="175">
        <v>3</v>
      </c>
      <c r="E356" s="175">
        <v>43</v>
      </c>
      <c r="F356" s="175">
        <v>280</v>
      </c>
      <c r="G356" s="176">
        <f t="shared" si="10"/>
        <v>3.9948307200000004</v>
      </c>
      <c r="H356" s="176">
        <f t="shared" si="11"/>
        <v>7.9287171599999997</v>
      </c>
      <c r="I356" s="177" t="s">
        <v>1492</v>
      </c>
      <c r="J356" s="178"/>
    </row>
    <row r="357" spans="1:10" ht="14.9" customHeight="1">
      <c r="A357" s="173">
        <v>3.8210000000000002</v>
      </c>
      <c r="B357" s="174" t="s">
        <v>1821</v>
      </c>
      <c r="C357" s="174" t="s">
        <v>1807</v>
      </c>
      <c r="D357" s="175">
        <v>3</v>
      </c>
      <c r="E357" s="175">
        <v>49</v>
      </c>
      <c r="F357" s="175">
        <v>502</v>
      </c>
      <c r="G357" s="176">
        <f t="shared" si="10"/>
        <v>4.55224896</v>
      </c>
      <c r="H357" s="176">
        <f t="shared" si="11"/>
        <v>14.215057194</v>
      </c>
      <c r="I357" s="177" t="s">
        <v>1492</v>
      </c>
      <c r="J357" s="178"/>
    </row>
    <row r="358" spans="1:10" ht="14.9" customHeight="1">
      <c r="A358" s="173">
        <v>3.8210000000000002</v>
      </c>
      <c r="B358" s="174" t="s">
        <v>675</v>
      </c>
      <c r="C358" s="174" t="s">
        <v>1807</v>
      </c>
      <c r="D358" s="175">
        <v>3</v>
      </c>
      <c r="E358" s="175">
        <v>51</v>
      </c>
      <c r="F358" s="175">
        <v>453</v>
      </c>
      <c r="G358" s="176">
        <f t="shared" si="10"/>
        <v>4.7380550399999999</v>
      </c>
      <c r="H358" s="176">
        <f t="shared" si="11"/>
        <v>12.827531690999999</v>
      </c>
      <c r="I358" s="177" t="s">
        <v>1492</v>
      </c>
      <c r="J358" s="178"/>
    </row>
    <row r="359" spans="1:10" ht="14.9" customHeight="1">
      <c r="A359" s="173">
        <v>3.8210000000000002</v>
      </c>
      <c r="B359" s="174" t="s">
        <v>672</v>
      </c>
      <c r="C359" s="174" t="s">
        <v>1822</v>
      </c>
      <c r="D359" s="175">
        <v>3</v>
      </c>
      <c r="E359" s="175">
        <v>16</v>
      </c>
      <c r="F359" s="175">
        <v>168</v>
      </c>
      <c r="G359" s="176">
        <f t="shared" si="10"/>
        <v>1.4864486400000001</v>
      </c>
      <c r="H359" s="176">
        <f t="shared" si="11"/>
        <v>4.7572302959999995</v>
      </c>
      <c r="I359" s="177" t="s">
        <v>1492</v>
      </c>
      <c r="J359" s="178"/>
    </row>
    <row r="360" spans="1:10" ht="14.9" customHeight="1">
      <c r="A360" s="173">
        <v>3.8210000000000002</v>
      </c>
      <c r="B360" s="174" t="s">
        <v>674</v>
      </c>
      <c r="C360" s="174" t="s">
        <v>1807</v>
      </c>
      <c r="D360" s="175">
        <v>3</v>
      </c>
      <c r="E360" s="175">
        <v>74</v>
      </c>
      <c r="F360" s="175">
        <v>365</v>
      </c>
      <c r="G360" s="176">
        <f t="shared" si="10"/>
        <v>6.8748249600000007</v>
      </c>
      <c r="H360" s="176">
        <f t="shared" si="11"/>
        <v>10.335649155</v>
      </c>
      <c r="I360" s="177"/>
      <c r="J360" s="178"/>
    </row>
    <row r="361" spans="1:10" ht="14.9" customHeight="1">
      <c r="A361" s="173">
        <v>3.8210000000000002</v>
      </c>
      <c r="B361" s="174" t="s">
        <v>702</v>
      </c>
      <c r="C361" s="174" t="s">
        <v>1805</v>
      </c>
      <c r="D361" s="175">
        <v>3</v>
      </c>
      <c r="E361" s="175">
        <v>74</v>
      </c>
      <c r="F361" s="175">
        <v>637</v>
      </c>
      <c r="G361" s="176">
        <f t="shared" si="10"/>
        <v>6.8748249600000007</v>
      </c>
      <c r="H361" s="176">
        <f t="shared" si="11"/>
        <v>18.037831538999999</v>
      </c>
      <c r="I361" s="177" t="s">
        <v>1492</v>
      </c>
      <c r="J361" s="178"/>
    </row>
    <row r="362" spans="1:10" ht="14.9" customHeight="1">
      <c r="A362" s="173">
        <v>3.8210000000000002</v>
      </c>
      <c r="B362" s="174" t="s">
        <v>1823</v>
      </c>
      <c r="C362" s="174" t="s">
        <v>1805</v>
      </c>
      <c r="D362" s="175">
        <v>3</v>
      </c>
      <c r="E362" s="175">
        <v>68</v>
      </c>
      <c r="F362" s="175">
        <v>584</v>
      </c>
      <c r="G362" s="176">
        <f t="shared" si="10"/>
        <v>6.3174067200000001</v>
      </c>
      <c r="H362" s="176">
        <f t="shared" si="11"/>
        <v>16.537038647999999</v>
      </c>
      <c r="I362" s="177"/>
      <c r="J362" s="178"/>
    </row>
    <row r="363" spans="1:10" ht="14.9" customHeight="1">
      <c r="A363" s="173">
        <v>3.8210000000000002</v>
      </c>
      <c r="B363" s="174" t="s">
        <v>1824</v>
      </c>
      <c r="C363" s="174" t="s">
        <v>1805</v>
      </c>
      <c r="D363" s="175">
        <v>4</v>
      </c>
      <c r="E363" s="175">
        <v>123</v>
      </c>
      <c r="F363" s="175">
        <v>1234</v>
      </c>
      <c r="G363" s="176">
        <f t="shared" si="10"/>
        <v>11.427073920000002</v>
      </c>
      <c r="H363" s="176">
        <f t="shared" si="11"/>
        <v>34.942989197999999</v>
      </c>
      <c r="I363" s="177" t="s">
        <v>1492</v>
      </c>
      <c r="J363" s="178"/>
    </row>
    <row r="364" spans="1:10" ht="14.9" customHeight="1">
      <c r="A364" s="173">
        <v>3.8210000000000002</v>
      </c>
      <c r="B364" s="174" t="s">
        <v>699</v>
      </c>
      <c r="C364" s="174" t="s">
        <v>1805</v>
      </c>
      <c r="D364" s="175">
        <v>4</v>
      </c>
      <c r="E364" s="175">
        <v>89</v>
      </c>
      <c r="F364" s="175">
        <v>807</v>
      </c>
      <c r="G364" s="176">
        <f t="shared" si="10"/>
        <v>8.268370560000001</v>
      </c>
      <c r="H364" s="176">
        <f t="shared" si="11"/>
        <v>22.851695529000001</v>
      </c>
      <c r="I364" s="177" t="s">
        <v>1492</v>
      </c>
      <c r="J364" s="178"/>
    </row>
    <row r="365" spans="1:10" ht="14.9" customHeight="1">
      <c r="A365" s="173">
        <v>3.8210000000000002</v>
      </c>
      <c r="B365" s="174" t="s">
        <v>698</v>
      </c>
      <c r="C365" s="174" t="s">
        <v>1805</v>
      </c>
      <c r="D365" s="175">
        <v>4</v>
      </c>
      <c r="E365" s="175">
        <v>58</v>
      </c>
      <c r="F365" s="175">
        <v>433</v>
      </c>
      <c r="G365" s="176">
        <f t="shared" si="10"/>
        <v>5.3883763200000008</v>
      </c>
      <c r="H365" s="176">
        <f t="shared" si="11"/>
        <v>12.261194751</v>
      </c>
      <c r="I365" s="177" t="s">
        <v>1492</v>
      </c>
      <c r="J365" s="178"/>
    </row>
    <row r="366" spans="1:10" ht="14.9" customHeight="1">
      <c r="A366" s="173">
        <v>3.8220000000000001</v>
      </c>
      <c r="B366" s="174" t="s">
        <v>1825</v>
      </c>
      <c r="C366" s="174" t="s">
        <v>1826</v>
      </c>
      <c r="D366" s="175">
        <v>1</v>
      </c>
      <c r="E366" s="175">
        <v>16</v>
      </c>
      <c r="F366" s="175">
        <v>301</v>
      </c>
      <c r="G366" s="176">
        <f t="shared" si="10"/>
        <v>1.4864486400000001</v>
      </c>
      <c r="H366" s="176">
        <f t="shared" si="11"/>
        <v>8.5233709470000001</v>
      </c>
      <c r="I366" s="184" t="s">
        <v>1503</v>
      </c>
      <c r="J366" s="185" t="s">
        <v>1827</v>
      </c>
    </row>
    <row r="367" spans="1:10" ht="14.9" customHeight="1">
      <c r="A367" s="173">
        <v>3.8220000000000001</v>
      </c>
      <c r="B367" s="174" t="s">
        <v>669</v>
      </c>
      <c r="C367" s="174" t="s">
        <v>1826</v>
      </c>
      <c r="D367" s="175">
        <v>2</v>
      </c>
      <c r="E367" s="175">
        <v>16</v>
      </c>
      <c r="F367" s="175">
        <v>289</v>
      </c>
      <c r="G367" s="176">
        <f t="shared" si="10"/>
        <v>1.4864486400000001</v>
      </c>
      <c r="H367" s="176">
        <f t="shared" si="11"/>
        <v>8.1835687830000001</v>
      </c>
      <c r="I367" s="177" t="s">
        <v>1492</v>
      </c>
      <c r="J367" s="178"/>
    </row>
    <row r="368" spans="1:10" ht="14.9" customHeight="1">
      <c r="A368" s="173">
        <v>3.8220000000000001</v>
      </c>
      <c r="B368" s="174" t="s">
        <v>668</v>
      </c>
      <c r="C368" s="174" t="s">
        <v>1826</v>
      </c>
      <c r="D368" s="175">
        <v>2</v>
      </c>
      <c r="E368" s="175">
        <v>20</v>
      </c>
      <c r="F368" s="175">
        <v>343</v>
      </c>
      <c r="G368" s="176">
        <f t="shared" si="10"/>
        <v>1.8580608000000001</v>
      </c>
      <c r="H368" s="176">
        <f t="shared" si="11"/>
        <v>9.7126785209999991</v>
      </c>
      <c r="I368" s="177" t="s">
        <v>1492</v>
      </c>
      <c r="J368" s="178"/>
    </row>
    <row r="369" spans="1:10" ht="14.9" customHeight="1">
      <c r="A369" s="173">
        <v>3.8220000000000001</v>
      </c>
      <c r="B369" s="174" t="s">
        <v>667</v>
      </c>
      <c r="C369" s="174" t="s">
        <v>1826</v>
      </c>
      <c r="D369" s="175">
        <v>4</v>
      </c>
      <c r="E369" s="175">
        <v>13</v>
      </c>
      <c r="F369" s="175">
        <v>645</v>
      </c>
      <c r="G369" s="176">
        <f t="shared" si="10"/>
        <v>1.2077395200000001</v>
      </c>
      <c r="H369" s="176">
        <f t="shared" si="11"/>
        <v>18.264366315</v>
      </c>
      <c r="I369" s="177" t="s">
        <v>1492</v>
      </c>
      <c r="J369" s="178"/>
    </row>
    <row r="370" spans="1:10" ht="14.9" customHeight="1">
      <c r="A370" s="173">
        <v>3.8220000000000001</v>
      </c>
      <c r="B370" s="174" t="s">
        <v>666</v>
      </c>
      <c r="C370" s="174" t="s">
        <v>1826</v>
      </c>
      <c r="D370" s="175">
        <v>4</v>
      </c>
      <c r="E370" s="175">
        <v>23</v>
      </c>
      <c r="F370" s="175">
        <v>867</v>
      </c>
      <c r="G370" s="176">
        <f t="shared" si="10"/>
        <v>2.1367699200000003</v>
      </c>
      <c r="H370" s="176">
        <f t="shared" si="11"/>
        <v>24.550706348999999</v>
      </c>
      <c r="I370" s="177" t="s">
        <v>1492</v>
      </c>
      <c r="J370" s="178"/>
    </row>
    <row r="371" spans="1:10" ht="14.9" customHeight="1">
      <c r="A371" s="173">
        <v>3.8220000000000001</v>
      </c>
      <c r="B371" s="174" t="s">
        <v>665</v>
      </c>
      <c r="C371" s="174" t="s">
        <v>1826</v>
      </c>
      <c r="D371" s="175">
        <v>4</v>
      </c>
      <c r="E371" s="175">
        <v>18</v>
      </c>
      <c r="F371" s="175">
        <v>622</v>
      </c>
      <c r="G371" s="176">
        <f t="shared" si="10"/>
        <v>1.6722547200000002</v>
      </c>
      <c r="H371" s="176">
        <f t="shared" si="11"/>
        <v>17.613078834</v>
      </c>
      <c r="I371" s="177" t="s">
        <v>1492</v>
      </c>
      <c r="J371" s="178"/>
    </row>
    <row r="372" spans="1:10" ht="14.9" customHeight="1">
      <c r="A372" s="173">
        <v>3.8220000000000001</v>
      </c>
      <c r="B372" s="174" t="s">
        <v>664</v>
      </c>
      <c r="C372" s="174" t="s">
        <v>1826</v>
      </c>
      <c r="D372" s="175">
        <v>4</v>
      </c>
      <c r="E372" s="175">
        <v>18</v>
      </c>
      <c r="F372" s="175">
        <v>625</v>
      </c>
      <c r="G372" s="176">
        <f t="shared" si="10"/>
        <v>1.6722547200000002</v>
      </c>
      <c r="H372" s="176">
        <f t="shared" si="11"/>
        <v>17.698029375000001</v>
      </c>
      <c r="I372" s="177" t="s">
        <v>1492</v>
      </c>
      <c r="J372" s="178"/>
    </row>
    <row r="373" spans="1:10" ht="14.9" customHeight="1">
      <c r="A373" s="173">
        <v>3.911</v>
      </c>
      <c r="B373" s="174" t="s">
        <v>597</v>
      </c>
      <c r="C373" s="174" t="s">
        <v>1828</v>
      </c>
      <c r="D373" s="175">
        <v>2</v>
      </c>
      <c r="E373" s="175">
        <v>4</v>
      </c>
      <c r="F373" s="175">
        <v>36</v>
      </c>
      <c r="G373" s="176">
        <f t="shared" si="10"/>
        <v>0.37161216000000002</v>
      </c>
      <c r="H373" s="176">
        <f t="shared" si="11"/>
        <v>1.0194064919999999</v>
      </c>
      <c r="I373" s="177" t="s">
        <v>1492</v>
      </c>
      <c r="J373" s="178"/>
    </row>
    <row r="374" spans="1:10" ht="14.9" customHeight="1">
      <c r="A374" s="173">
        <v>3.911</v>
      </c>
      <c r="B374" s="174" t="s">
        <v>605</v>
      </c>
      <c r="C374" s="174" t="s">
        <v>1828</v>
      </c>
      <c r="D374" s="175">
        <v>2</v>
      </c>
      <c r="E374" s="175">
        <v>4</v>
      </c>
      <c r="F374" s="175">
        <v>37</v>
      </c>
      <c r="G374" s="176">
        <f t="shared" si="10"/>
        <v>0.37161216000000002</v>
      </c>
      <c r="H374" s="176">
        <f t="shared" si="11"/>
        <v>1.047723339</v>
      </c>
      <c r="I374" s="177" t="s">
        <v>1492</v>
      </c>
      <c r="J374" s="178"/>
    </row>
    <row r="375" spans="1:10" ht="14.9" customHeight="1">
      <c r="A375" s="173">
        <v>3.911</v>
      </c>
      <c r="B375" s="174" t="s">
        <v>1829</v>
      </c>
      <c r="C375" s="174" t="s">
        <v>1830</v>
      </c>
      <c r="D375" s="175">
        <v>4</v>
      </c>
      <c r="E375" s="175">
        <v>0</v>
      </c>
      <c r="F375" s="175">
        <v>1613</v>
      </c>
      <c r="G375" s="176">
        <f t="shared" si="10"/>
        <v>0</v>
      </c>
      <c r="H375" s="176">
        <f t="shared" si="11"/>
        <v>45.675074211000002</v>
      </c>
      <c r="I375" s="177" t="s">
        <v>1492</v>
      </c>
      <c r="J375" s="178"/>
    </row>
    <row r="376" spans="1:10" ht="14.9" customHeight="1">
      <c r="A376" s="173">
        <v>3.911</v>
      </c>
      <c r="B376" s="174" t="s">
        <v>1831</v>
      </c>
      <c r="C376" s="174" t="s">
        <v>1832</v>
      </c>
      <c r="D376" s="175">
        <v>4</v>
      </c>
      <c r="E376" s="175">
        <v>0</v>
      </c>
      <c r="F376" s="175">
        <v>1613</v>
      </c>
      <c r="G376" s="176">
        <f t="shared" si="10"/>
        <v>0</v>
      </c>
      <c r="H376" s="176">
        <f t="shared" si="11"/>
        <v>45.675074211000002</v>
      </c>
      <c r="I376" s="177" t="s">
        <v>1492</v>
      </c>
      <c r="J376" s="178"/>
    </row>
    <row r="377" spans="1:10" ht="14.9" customHeight="1">
      <c r="A377" s="173">
        <v>3.911</v>
      </c>
      <c r="B377" s="174" t="s">
        <v>656</v>
      </c>
      <c r="C377" s="174" t="s">
        <v>1833</v>
      </c>
      <c r="D377" s="175">
        <v>4</v>
      </c>
      <c r="E377" s="175">
        <v>0</v>
      </c>
      <c r="F377" s="175">
        <v>3116</v>
      </c>
      <c r="G377" s="176">
        <f t="shared" si="10"/>
        <v>0</v>
      </c>
      <c r="H377" s="176">
        <f t="shared" si="11"/>
        <v>88.235295252</v>
      </c>
      <c r="I377" s="177" t="s">
        <v>1492</v>
      </c>
      <c r="J377" s="178"/>
    </row>
    <row r="378" spans="1:10" ht="14.9" customHeight="1">
      <c r="A378" s="173">
        <v>3.911</v>
      </c>
      <c r="B378" s="174" t="s">
        <v>630</v>
      </c>
      <c r="C378" s="174" t="s">
        <v>1834</v>
      </c>
      <c r="D378" s="175">
        <v>4</v>
      </c>
      <c r="E378" s="175">
        <v>0</v>
      </c>
      <c r="F378" s="175">
        <v>2829</v>
      </c>
      <c r="G378" s="176">
        <f t="shared" si="10"/>
        <v>0</v>
      </c>
      <c r="H378" s="176">
        <f t="shared" si="11"/>
        <v>80.108360163</v>
      </c>
      <c r="I378" s="177" t="s">
        <v>1492</v>
      </c>
      <c r="J378" s="178"/>
    </row>
    <row r="379" spans="1:10" ht="14.9" customHeight="1">
      <c r="A379" s="173">
        <v>3.911</v>
      </c>
      <c r="B379" s="174" t="s">
        <v>610</v>
      </c>
      <c r="C379" s="174" t="s">
        <v>1835</v>
      </c>
      <c r="D379" s="175">
        <v>4</v>
      </c>
      <c r="E379" s="175">
        <v>0</v>
      </c>
      <c r="F379" s="175">
        <v>255</v>
      </c>
      <c r="G379" s="176">
        <f t="shared" si="10"/>
        <v>0</v>
      </c>
      <c r="H379" s="176">
        <f t="shared" si="11"/>
        <v>7.2207959849999996</v>
      </c>
      <c r="I379" s="177" t="s">
        <v>1492</v>
      </c>
      <c r="J379" s="178"/>
    </row>
    <row r="380" spans="1:10" ht="14.9" customHeight="1">
      <c r="A380" s="173">
        <v>3.911</v>
      </c>
      <c r="B380" s="174" t="s">
        <v>608</v>
      </c>
      <c r="C380" s="174" t="s">
        <v>1836</v>
      </c>
      <c r="D380" s="175">
        <v>4</v>
      </c>
      <c r="E380" s="175">
        <v>0</v>
      </c>
      <c r="F380" s="175">
        <v>255</v>
      </c>
      <c r="G380" s="176">
        <f t="shared" si="10"/>
        <v>0</v>
      </c>
      <c r="H380" s="176">
        <f t="shared" si="11"/>
        <v>7.2207959849999996</v>
      </c>
      <c r="I380" s="177" t="s">
        <v>1492</v>
      </c>
      <c r="J380" s="178"/>
    </row>
    <row r="381" spans="1:10" ht="14.9" customHeight="1">
      <c r="A381" s="173">
        <v>3.911</v>
      </c>
      <c r="B381" s="174" t="s">
        <v>1837</v>
      </c>
      <c r="C381" s="174" t="s">
        <v>1838</v>
      </c>
      <c r="D381" s="175">
        <v>5</v>
      </c>
      <c r="E381" s="175">
        <v>0</v>
      </c>
      <c r="F381" s="182">
        <v>1880</v>
      </c>
      <c r="G381" s="176">
        <f t="shared" si="10"/>
        <v>0</v>
      </c>
      <c r="H381" s="176">
        <f t="shared" si="11"/>
        <v>53.235672359999995</v>
      </c>
      <c r="I381" s="177" t="s">
        <v>1492</v>
      </c>
      <c r="J381" s="178"/>
    </row>
    <row r="382" spans="1:10" ht="14.9" customHeight="1">
      <c r="A382" s="173">
        <v>3.911</v>
      </c>
      <c r="B382" s="174" t="s">
        <v>1839</v>
      </c>
      <c r="C382" s="174" t="s">
        <v>1838</v>
      </c>
      <c r="D382" s="175">
        <v>5</v>
      </c>
      <c r="E382" s="175">
        <v>0</v>
      </c>
      <c r="F382" s="182">
        <v>2142</v>
      </c>
      <c r="G382" s="176">
        <f t="shared" si="10"/>
        <v>0</v>
      </c>
      <c r="H382" s="176">
        <f t="shared" si="11"/>
        <v>60.654686273999999</v>
      </c>
      <c r="I382" s="177" t="s">
        <v>1492</v>
      </c>
      <c r="J382" s="178"/>
    </row>
    <row r="383" spans="1:10" ht="14.9" customHeight="1">
      <c r="A383" s="173">
        <v>3.911</v>
      </c>
      <c r="B383" s="174" t="s">
        <v>1840</v>
      </c>
      <c r="C383" s="174" t="s">
        <v>1841</v>
      </c>
      <c r="D383" s="175">
        <v>5</v>
      </c>
      <c r="E383" s="175">
        <v>0</v>
      </c>
      <c r="F383" s="182">
        <v>2194</v>
      </c>
      <c r="G383" s="176">
        <f t="shared" si="10"/>
        <v>0</v>
      </c>
      <c r="H383" s="176">
        <f t="shared" si="11"/>
        <v>62.127162317999996</v>
      </c>
      <c r="I383" s="177" t="s">
        <v>1492</v>
      </c>
      <c r="J383" s="178"/>
    </row>
    <row r="384" spans="1:10" ht="14.9" customHeight="1">
      <c r="A384" s="173">
        <v>3.911</v>
      </c>
      <c r="B384" s="174" t="s">
        <v>641</v>
      </c>
      <c r="C384" s="174" t="s">
        <v>1838</v>
      </c>
      <c r="D384" s="175">
        <v>5</v>
      </c>
      <c r="E384" s="175">
        <v>0</v>
      </c>
      <c r="F384" s="182">
        <v>2544</v>
      </c>
      <c r="G384" s="176">
        <f t="shared" si="10"/>
        <v>0</v>
      </c>
      <c r="H384" s="176">
        <f t="shared" si="11"/>
        <v>72.038058767999999</v>
      </c>
      <c r="I384" s="177" t="s">
        <v>1492</v>
      </c>
      <c r="J384" s="178"/>
    </row>
    <row r="385" spans="1:10" ht="14.9" customHeight="1">
      <c r="A385" s="173">
        <v>3.911</v>
      </c>
      <c r="B385" s="174" t="s">
        <v>637</v>
      </c>
      <c r="C385" s="174" t="s">
        <v>1841</v>
      </c>
      <c r="D385" s="175">
        <v>5</v>
      </c>
      <c r="E385" s="175">
        <v>0</v>
      </c>
      <c r="F385" s="182">
        <v>2662</v>
      </c>
      <c r="G385" s="176">
        <f t="shared" si="10"/>
        <v>0</v>
      </c>
      <c r="H385" s="176">
        <f t="shared" si="11"/>
        <v>75.379446713999997</v>
      </c>
      <c r="I385" s="177" t="s">
        <v>1492</v>
      </c>
      <c r="J385" s="178"/>
    </row>
    <row r="386" spans="1:10" ht="14.9" customHeight="1">
      <c r="A386" s="173">
        <v>3.911</v>
      </c>
      <c r="B386" s="174" t="s">
        <v>640</v>
      </c>
      <c r="C386" s="174" t="s">
        <v>1838</v>
      </c>
      <c r="D386" s="175">
        <v>5</v>
      </c>
      <c r="E386" s="175">
        <v>0</v>
      </c>
      <c r="F386" s="182">
        <v>2104</v>
      </c>
      <c r="G386" s="176">
        <f t="shared" si="10"/>
        <v>0</v>
      </c>
      <c r="H386" s="176">
        <f t="shared" si="11"/>
        <v>59.578646087999999</v>
      </c>
      <c r="I386" s="177" t="s">
        <v>1492</v>
      </c>
      <c r="J386" s="178"/>
    </row>
    <row r="387" spans="1:10" ht="14.9" customHeight="1">
      <c r="A387" s="173">
        <v>3.911</v>
      </c>
      <c r="B387" s="174" t="s">
        <v>636</v>
      </c>
      <c r="C387" s="174" t="s">
        <v>1841</v>
      </c>
      <c r="D387" s="175">
        <v>5</v>
      </c>
      <c r="E387" s="175">
        <v>0</v>
      </c>
      <c r="F387" s="182">
        <v>2871</v>
      </c>
      <c r="G387" s="176">
        <f t="shared" si="10"/>
        <v>0</v>
      </c>
      <c r="H387" s="176">
        <f t="shared" si="11"/>
        <v>81.297667736999998</v>
      </c>
      <c r="I387" s="177" t="s">
        <v>1492</v>
      </c>
      <c r="J387" s="178"/>
    </row>
    <row r="388" spans="1:10" ht="14.9" customHeight="1">
      <c r="A388" s="173">
        <v>3.911</v>
      </c>
      <c r="B388" s="174" t="s">
        <v>616</v>
      </c>
      <c r="C388" s="174" t="s">
        <v>1842</v>
      </c>
      <c r="D388" s="175">
        <v>5</v>
      </c>
      <c r="E388" s="175">
        <v>0</v>
      </c>
      <c r="F388" s="182">
        <v>294</v>
      </c>
      <c r="G388" s="176">
        <f t="shared" si="10"/>
        <v>0</v>
      </c>
      <c r="H388" s="176">
        <f t="shared" si="11"/>
        <v>8.325153018</v>
      </c>
      <c r="I388" s="177" t="s">
        <v>1492</v>
      </c>
      <c r="J388" s="178"/>
    </row>
    <row r="389" spans="1:10" ht="14.9" customHeight="1">
      <c r="A389" s="173">
        <v>3.911</v>
      </c>
      <c r="B389" s="174" t="s">
        <v>618</v>
      </c>
      <c r="C389" s="174" t="s">
        <v>1843</v>
      </c>
      <c r="D389" s="175">
        <v>5</v>
      </c>
      <c r="E389" s="175">
        <v>0</v>
      </c>
      <c r="F389" s="182">
        <v>474</v>
      </c>
      <c r="G389" s="176">
        <f t="shared" ref="G389:G452" si="12">E389*0.09290304</f>
        <v>0</v>
      </c>
      <c r="H389" s="176">
        <f t="shared" ref="H389:H452" si="13">F389*0.028316847</f>
        <v>13.422185477999999</v>
      </c>
      <c r="I389" s="177" t="s">
        <v>1492</v>
      </c>
      <c r="J389" s="178"/>
    </row>
    <row r="390" spans="1:10" ht="14.9" customHeight="1">
      <c r="A390" s="173">
        <v>3.911</v>
      </c>
      <c r="B390" s="174" t="s">
        <v>634</v>
      </c>
      <c r="C390" s="174" t="s">
        <v>1844</v>
      </c>
      <c r="D390" s="175">
        <v>5</v>
      </c>
      <c r="E390" s="175">
        <v>0</v>
      </c>
      <c r="F390" s="182">
        <v>2346</v>
      </c>
      <c r="G390" s="176">
        <f t="shared" si="12"/>
        <v>0</v>
      </c>
      <c r="H390" s="176">
        <f t="shared" si="13"/>
        <v>66.431323062000004</v>
      </c>
      <c r="I390" s="177" t="s">
        <v>1492</v>
      </c>
      <c r="J390" s="178"/>
    </row>
    <row r="391" spans="1:10" ht="14.9" customHeight="1">
      <c r="A391" s="173">
        <v>3.911</v>
      </c>
      <c r="B391" s="174" t="s">
        <v>654</v>
      </c>
      <c r="C391" s="174" t="s">
        <v>1845</v>
      </c>
      <c r="D391" s="175">
        <v>5</v>
      </c>
      <c r="E391" s="175">
        <v>0</v>
      </c>
      <c r="F391" s="182">
        <v>2329</v>
      </c>
      <c r="G391" s="176">
        <f t="shared" si="12"/>
        <v>0</v>
      </c>
      <c r="H391" s="176">
        <f t="shared" si="13"/>
        <v>65.949936663000003</v>
      </c>
      <c r="I391" s="177" t="s">
        <v>1492</v>
      </c>
      <c r="J391" s="178"/>
    </row>
    <row r="392" spans="1:10" ht="14.9" customHeight="1">
      <c r="A392" s="173">
        <v>3.911</v>
      </c>
      <c r="B392" s="174" t="s">
        <v>614</v>
      </c>
      <c r="C392" s="174" t="s">
        <v>1846</v>
      </c>
      <c r="D392" s="175">
        <v>5</v>
      </c>
      <c r="E392" s="175">
        <v>0</v>
      </c>
      <c r="F392" s="182">
        <v>202</v>
      </c>
      <c r="G392" s="176">
        <f t="shared" si="12"/>
        <v>0</v>
      </c>
      <c r="H392" s="176">
        <f t="shared" si="13"/>
        <v>5.720003094</v>
      </c>
      <c r="I392" s="177" t="s">
        <v>1492</v>
      </c>
      <c r="J392" s="178"/>
    </row>
    <row r="393" spans="1:10" ht="14.9" customHeight="1">
      <c r="A393" s="173">
        <v>3.911</v>
      </c>
      <c r="B393" s="174" t="s">
        <v>612</v>
      </c>
      <c r="C393" s="174" t="s">
        <v>1847</v>
      </c>
      <c r="D393" s="175">
        <v>5</v>
      </c>
      <c r="E393" s="175">
        <v>0</v>
      </c>
      <c r="F393" s="182">
        <v>303</v>
      </c>
      <c r="G393" s="176">
        <f t="shared" si="12"/>
        <v>0</v>
      </c>
      <c r="H393" s="176">
        <f t="shared" si="13"/>
        <v>8.5800046410000004</v>
      </c>
      <c r="I393" s="177" t="s">
        <v>1492</v>
      </c>
      <c r="J393" s="178"/>
    </row>
    <row r="394" spans="1:10" ht="14.9" customHeight="1">
      <c r="A394" s="173">
        <v>3.911</v>
      </c>
      <c r="B394" s="174" t="s">
        <v>633</v>
      </c>
      <c r="C394" s="174" t="s">
        <v>1844</v>
      </c>
      <c r="D394" s="175">
        <v>5</v>
      </c>
      <c r="E394" s="175">
        <v>0</v>
      </c>
      <c r="F394" s="182">
        <v>2808</v>
      </c>
      <c r="G394" s="176">
        <f t="shared" si="12"/>
        <v>0</v>
      </c>
      <c r="H394" s="176">
        <f t="shared" si="13"/>
        <v>79.513706376000002</v>
      </c>
      <c r="I394" s="177" t="s">
        <v>1492</v>
      </c>
      <c r="J394" s="178"/>
    </row>
    <row r="395" spans="1:10" ht="14.9" customHeight="1">
      <c r="A395" s="173">
        <v>3.911</v>
      </c>
      <c r="B395" s="174" t="s">
        <v>629</v>
      </c>
      <c r="C395" s="174" t="s">
        <v>1834</v>
      </c>
      <c r="D395" s="175">
        <v>5</v>
      </c>
      <c r="E395" s="175">
        <v>0</v>
      </c>
      <c r="F395" s="182">
        <v>2020</v>
      </c>
      <c r="G395" s="176">
        <f t="shared" si="12"/>
        <v>0</v>
      </c>
      <c r="H395" s="176">
        <f t="shared" si="13"/>
        <v>57.200030939999998</v>
      </c>
      <c r="I395" s="177" t="s">
        <v>1492</v>
      </c>
      <c r="J395" s="178"/>
    </row>
    <row r="396" spans="1:10" ht="14.9" customHeight="1">
      <c r="A396" s="173">
        <v>3.911</v>
      </c>
      <c r="B396" s="174" t="s">
        <v>632</v>
      </c>
      <c r="C396" s="174" t="s">
        <v>1844</v>
      </c>
      <c r="D396" s="175">
        <v>5</v>
      </c>
      <c r="E396" s="175">
        <v>0</v>
      </c>
      <c r="F396" s="182">
        <v>1232</v>
      </c>
      <c r="G396" s="176">
        <f t="shared" si="12"/>
        <v>0</v>
      </c>
      <c r="H396" s="176">
        <f t="shared" si="13"/>
        <v>34.886355504000001</v>
      </c>
      <c r="I396" s="177" t="s">
        <v>1492</v>
      </c>
      <c r="J396" s="178"/>
    </row>
    <row r="397" spans="1:10" ht="14.9" customHeight="1">
      <c r="A397" s="173">
        <v>3.911</v>
      </c>
      <c r="B397" s="174" t="s">
        <v>628</v>
      </c>
      <c r="C397" s="174" t="s">
        <v>1834</v>
      </c>
      <c r="D397" s="175">
        <v>5</v>
      </c>
      <c r="E397" s="175">
        <v>0</v>
      </c>
      <c r="F397" s="182">
        <v>1232</v>
      </c>
      <c r="G397" s="176">
        <f t="shared" si="12"/>
        <v>0</v>
      </c>
      <c r="H397" s="176">
        <f t="shared" si="13"/>
        <v>34.886355504000001</v>
      </c>
      <c r="I397" s="177" t="s">
        <v>1492</v>
      </c>
      <c r="J397" s="178"/>
    </row>
    <row r="398" spans="1:10" ht="14.9" customHeight="1">
      <c r="A398" s="179">
        <v>3.911</v>
      </c>
      <c r="B398" s="180" t="s">
        <v>652</v>
      </c>
      <c r="C398" s="180" t="s">
        <v>1848</v>
      </c>
      <c r="D398" s="175">
        <v>5</v>
      </c>
      <c r="E398" s="182">
        <v>0</v>
      </c>
      <c r="F398" s="182">
        <v>3105</v>
      </c>
      <c r="G398" s="176">
        <f t="shared" si="12"/>
        <v>0</v>
      </c>
      <c r="H398" s="176">
        <f t="shared" si="13"/>
        <v>87.923809934999994</v>
      </c>
      <c r="I398" s="177" t="s">
        <v>1492</v>
      </c>
      <c r="J398" s="178"/>
    </row>
    <row r="399" spans="1:10" ht="14.9" customHeight="1">
      <c r="A399" s="179">
        <v>3.911</v>
      </c>
      <c r="B399" s="180" t="s">
        <v>650</v>
      </c>
      <c r="C399" s="180" t="s">
        <v>1849</v>
      </c>
      <c r="D399" s="175">
        <v>5</v>
      </c>
      <c r="E399" s="182">
        <v>0</v>
      </c>
      <c r="F399" s="182">
        <v>3067</v>
      </c>
      <c r="G399" s="176">
        <f t="shared" si="12"/>
        <v>0</v>
      </c>
      <c r="H399" s="176">
        <f t="shared" si="13"/>
        <v>86.847769748999994</v>
      </c>
      <c r="I399" s="177" t="s">
        <v>1492</v>
      </c>
      <c r="J399" s="178"/>
    </row>
    <row r="400" spans="1:10" ht="14.9" customHeight="1">
      <c r="A400" s="179">
        <v>3.911</v>
      </c>
      <c r="B400" s="180" t="s">
        <v>626</v>
      </c>
      <c r="C400" s="180" t="s">
        <v>1850</v>
      </c>
      <c r="D400" s="175">
        <v>5</v>
      </c>
      <c r="E400" s="182">
        <v>0</v>
      </c>
      <c r="F400" s="182">
        <v>5159</v>
      </c>
      <c r="G400" s="176">
        <f t="shared" si="12"/>
        <v>0</v>
      </c>
      <c r="H400" s="176">
        <f t="shared" si="13"/>
        <v>146.08661367299999</v>
      </c>
      <c r="I400" s="177" t="s">
        <v>1492</v>
      </c>
      <c r="J400" s="178"/>
    </row>
    <row r="401" spans="1:10" ht="14.9" customHeight="1">
      <c r="A401" s="179">
        <v>3.911</v>
      </c>
      <c r="B401" s="180" t="s">
        <v>624</v>
      </c>
      <c r="C401" s="180" t="s">
        <v>1851</v>
      </c>
      <c r="D401" s="175">
        <v>5</v>
      </c>
      <c r="E401" s="182">
        <v>0</v>
      </c>
      <c r="F401" s="182">
        <v>4421</v>
      </c>
      <c r="G401" s="176">
        <f t="shared" si="12"/>
        <v>0</v>
      </c>
      <c r="H401" s="176">
        <f t="shared" si="13"/>
        <v>125.188780587</v>
      </c>
      <c r="I401" s="177" t="s">
        <v>1492</v>
      </c>
      <c r="J401" s="178"/>
    </row>
    <row r="402" spans="1:10" ht="14.9" customHeight="1">
      <c r="A402" s="173">
        <v>3.9119999999999999</v>
      </c>
      <c r="B402" s="174" t="s">
        <v>600</v>
      </c>
      <c r="C402" s="174" t="s">
        <v>1852</v>
      </c>
      <c r="D402" s="175">
        <v>1</v>
      </c>
      <c r="E402" s="182">
        <v>20</v>
      </c>
      <c r="F402" s="182">
        <v>186</v>
      </c>
      <c r="G402" s="176">
        <f t="shared" si="12"/>
        <v>1.8580608000000001</v>
      </c>
      <c r="H402" s="176">
        <f t="shared" si="13"/>
        <v>5.2669335419999994</v>
      </c>
      <c r="I402" s="177" t="s">
        <v>1492</v>
      </c>
      <c r="J402" s="178"/>
    </row>
    <row r="403" spans="1:10" ht="14.9" customHeight="1">
      <c r="A403" s="173">
        <v>3.9119999999999999</v>
      </c>
      <c r="B403" s="174" t="s">
        <v>648</v>
      </c>
      <c r="C403" s="174" t="s">
        <v>1853</v>
      </c>
      <c r="D403" s="175">
        <v>4</v>
      </c>
      <c r="E403" s="175">
        <v>0</v>
      </c>
      <c r="F403" s="175">
        <v>3088</v>
      </c>
      <c r="G403" s="176">
        <f t="shared" si="12"/>
        <v>0</v>
      </c>
      <c r="H403" s="176">
        <f t="shared" si="13"/>
        <v>87.442423535999993</v>
      </c>
      <c r="I403" s="177" t="s">
        <v>1492</v>
      </c>
      <c r="J403" s="178"/>
    </row>
    <row r="404" spans="1:10" ht="14.9" customHeight="1">
      <c r="A404" s="173">
        <v>3.9119999999999999</v>
      </c>
      <c r="B404" s="174" t="s">
        <v>647</v>
      </c>
      <c r="C404" s="174" t="s">
        <v>1853</v>
      </c>
      <c r="D404" s="175">
        <v>4</v>
      </c>
      <c r="E404" s="175">
        <v>0</v>
      </c>
      <c r="F404" s="175">
        <v>2427</v>
      </c>
      <c r="G404" s="176">
        <f t="shared" si="12"/>
        <v>0</v>
      </c>
      <c r="H404" s="176">
        <f t="shared" si="13"/>
        <v>68.724987669000001</v>
      </c>
      <c r="I404" s="177" t="s">
        <v>1492</v>
      </c>
      <c r="J404" s="178"/>
    </row>
    <row r="405" spans="1:10" ht="14.9" customHeight="1">
      <c r="A405" s="173">
        <v>3.9119999999999999</v>
      </c>
      <c r="B405" s="174" t="s">
        <v>646</v>
      </c>
      <c r="C405" s="174" t="s">
        <v>1853</v>
      </c>
      <c r="D405" s="175">
        <v>4</v>
      </c>
      <c r="E405" s="175">
        <v>0</v>
      </c>
      <c r="F405" s="175">
        <v>2430</v>
      </c>
      <c r="G405" s="176">
        <f t="shared" si="12"/>
        <v>0</v>
      </c>
      <c r="H405" s="176">
        <f t="shared" si="13"/>
        <v>68.809938209999999</v>
      </c>
      <c r="I405" s="177" t="s">
        <v>1492</v>
      </c>
      <c r="J405" s="178"/>
    </row>
    <row r="406" spans="1:10" ht="14.9" customHeight="1">
      <c r="A406" s="173">
        <v>3.9119999999999999</v>
      </c>
      <c r="B406" s="174" t="s">
        <v>554</v>
      </c>
      <c r="C406" s="174" t="s">
        <v>1854</v>
      </c>
      <c r="D406" s="175">
        <v>4</v>
      </c>
      <c r="E406" s="175">
        <v>0</v>
      </c>
      <c r="F406" s="175">
        <v>37</v>
      </c>
      <c r="G406" s="176">
        <f t="shared" si="12"/>
        <v>0</v>
      </c>
      <c r="H406" s="176">
        <f t="shared" si="13"/>
        <v>1.047723339</v>
      </c>
      <c r="I406" s="177" t="s">
        <v>1492</v>
      </c>
      <c r="J406" s="178"/>
    </row>
    <row r="407" spans="1:10" ht="14.9" customHeight="1">
      <c r="A407" s="173">
        <v>3.9119999999999999</v>
      </c>
      <c r="B407" s="174" t="s">
        <v>553</v>
      </c>
      <c r="C407" s="174" t="s">
        <v>1854</v>
      </c>
      <c r="D407" s="175">
        <v>5</v>
      </c>
      <c r="E407" s="175">
        <v>0</v>
      </c>
      <c r="F407" s="182">
        <v>76</v>
      </c>
      <c r="G407" s="176">
        <f t="shared" si="12"/>
        <v>0</v>
      </c>
      <c r="H407" s="176">
        <f t="shared" si="13"/>
        <v>2.1520803719999999</v>
      </c>
      <c r="I407" s="177" t="s">
        <v>1492</v>
      </c>
      <c r="J407" s="178"/>
    </row>
    <row r="408" spans="1:10" ht="14.9" customHeight="1">
      <c r="A408" s="173">
        <v>3.9119999999999999</v>
      </c>
      <c r="B408" s="174" t="s">
        <v>1855</v>
      </c>
      <c r="C408" s="174" t="s">
        <v>1856</v>
      </c>
      <c r="D408" s="175">
        <v>5</v>
      </c>
      <c r="E408" s="175">
        <v>0</v>
      </c>
      <c r="F408" s="182">
        <v>80</v>
      </c>
      <c r="G408" s="176">
        <f t="shared" si="12"/>
        <v>0</v>
      </c>
      <c r="H408" s="176">
        <f t="shared" si="13"/>
        <v>2.26534776</v>
      </c>
      <c r="I408" s="177" t="s">
        <v>1492</v>
      </c>
      <c r="J408" s="178"/>
    </row>
    <row r="409" spans="1:10" ht="14.9" customHeight="1">
      <c r="A409" s="173">
        <v>3.9119999999999999</v>
      </c>
      <c r="B409" s="174" t="s">
        <v>645</v>
      </c>
      <c r="C409" s="174" t="s">
        <v>1853</v>
      </c>
      <c r="D409" s="175">
        <v>5</v>
      </c>
      <c r="E409" s="175">
        <v>0</v>
      </c>
      <c r="F409" s="182">
        <v>2790</v>
      </c>
      <c r="G409" s="176">
        <f t="shared" si="12"/>
        <v>0</v>
      </c>
      <c r="H409" s="176">
        <f t="shared" si="13"/>
        <v>79.004003130000001</v>
      </c>
      <c r="I409" s="177" t="s">
        <v>1492</v>
      </c>
      <c r="J409" s="178"/>
    </row>
    <row r="410" spans="1:10" ht="14.9" customHeight="1">
      <c r="A410" s="173">
        <v>3.9129999999999998</v>
      </c>
      <c r="B410" s="174" t="s">
        <v>594</v>
      </c>
      <c r="C410" s="174" t="s">
        <v>1857</v>
      </c>
      <c r="D410" s="175">
        <v>3</v>
      </c>
      <c r="E410" s="175">
        <v>0</v>
      </c>
      <c r="F410" s="175">
        <v>187</v>
      </c>
      <c r="G410" s="176">
        <f t="shared" si="12"/>
        <v>0</v>
      </c>
      <c r="H410" s="176">
        <f t="shared" si="13"/>
        <v>5.2952503889999996</v>
      </c>
      <c r="I410" s="177" t="s">
        <v>1492</v>
      </c>
      <c r="J410" s="178"/>
    </row>
    <row r="411" spans="1:10" ht="14.9" customHeight="1">
      <c r="A411" s="173">
        <v>3.9129999999999998</v>
      </c>
      <c r="B411" s="174" t="s">
        <v>593</v>
      </c>
      <c r="C411" s="174" t="s">
        <v>1857</v>
      </c>
      <c r="D411" s="175">
        <v>3</v>
      </c>
      <c r="E411" s="175">
        <v>0</v>
      </c>
      <c r="F411" s="175">
        <v>193</v>
      </c>
      <c r="G411" s="176">
        <f t="shared" si="12"/>
        <v>0</v>
      </c>
      <c r="H411" s="176">
        <f t="shared" si="13"/>
        <v>5.4651514709999995</v>
      </c>
      <c r="I411" s="177" t="s">
        <v>1492</v>
      </c>
      <c r="J411" s="178"/>
    </row>
    <row r="412" spans="1:10" ht="14.9" customHeight="1">
      <c r="A412" s="173">
        <v>3.9129999999999998</v>
      </c>
      <c r="B412" s="174" t="s">
        <v>591</v>
      </c>
      <c r="C412" s="174" t="s">
        <v>1857</v>
      </c>
      <c r="D412" s="175">
        <v>3</v>
      </c>
      <c r="E412" s="175">
        <v>0</v>
      </c>
      <c r="F412" s="175">
        <v>189</v>
      </c>
      <c r="G412" s="176">
        <f t="shared" si="12"/>
        <v>0</v>
      </c>
      <c r="H412" s="176">
        <f t="shared" si="13"/>
        <v>5.3518840829999998</v>
      </c>
      <c r="I412" s="177" t="s">
        <v>1492</v>
      </c>
      <c r="J412" s="178"/>
    </row>
    <row r="413" spans="1:10" ht="14.9" customHeight="1">
      <c r="A413" s="173">
        <v>3.9129999999999998</v>
      </c>
      <c r="B413" s="174" t="s">
        <v>584</v>
      </c>
      <c r="C413" s="174" t="s">
        <v>1858</v>
      </c>
      <c r="D413" s="175">
        <v>3</v>
      </c>
      <c r="E413" s="175">
        <v>0</v>
      </c>
      <c r="F413" s="175">
        <v>177</v>
      </c>
      <c r="G413" s="176">
        <f t="shared" si="12"/>
        <v>0</v>
      </c>
      <c r="H413" s="176">
        <f t="shared" si="13"/>
        <v>5.0120819189999999</v>
      </c>
      <c r="I413" s="177" t="s">
        <v>1492</v>
      </c>
      <c r="J413" s="178"/>
    </row>
    <row r="414" spans="1:10" ht="14.9" customHeight="1">
      <c r="A414" s="173">
        <v>3.9129999999999998</v>
      </c>
      <c r="B414" s="174" t="s">
        <v>583</v>
      </c>
      <c r="C414" s="174" t="s">
        <v>1858</v>
      </c>
      <c r="D414" s="175">
        <v>3</v>
      </c>
      <c r="E414" s="175">
        <v>0</v>
      </c>
      <c r="F414" s="175">
        <v>183</v>
      </c>
      <c r="G414" s="176">
        <f t="shared" si="12"/>
        <v>0</v>
      </c>
      <c r="H414" s="176">
        <f t="shared" si="13"/>
        <v>5.1819830009999999</v>
      </c>
      <c r="I414" s="177" t="s">
        <v>1492</v>
      </c>
      <c r="J414" s="178"/>
    </row>
    <row r="415" spans="1:10" ht="14.9" customHeight="1">
      <c r="A415" s="173">
        <v>3.9129999999999998</v>
      </c>
      <c r="B415" s="174" t="s">
        <v>582</v>
      </c>
      <c r="C415" s="174" t="s">
        <v>1858</v>
      </c>
      <c r="D415" s="175">
        <v>3</v>
      </c>
      <c r="E415" s="175">
        <v>0</v>
      </c>
      <c r="F415" s="175">
        <v>161</v>
      </c>
      <c r="G415" s="176">
        <f t="shared" si="12"/>
        <v>0</v>
      </c>
      <c r="H415" s="176">
        <f t="shared" si="13"/>
        <v>4.5590123670000002</v>
      </c>
      <c r="I415" s="177" t="s">
        <v>1492</v>
      </c>
      <c r="J415" s="178"/>
    </row>
    <row r="416" spans="1:10" ht="14.9" customHeight="1">
      <c r="A416" s="173">
        <v>3.9129999999999998</v>
      </c>
      <c r="B416" s="174" t="s">
        <v>581</v>
      </c>
      <c r="C416" s="174" t="s">
        <v>1858</v>
      </c>
      <c r="D416" s="175">
        <v>3</v>
      </c>
      <c r="E416" s="175">
        <v>0</v>
      </c>
      <c r="F416" s="175">
        <v>160</v>
      </c>
      <c r="G416" s="176">
        <f t="shared" si="12"/>
        <v>0</v>
      </c>
      <c r="H416" s="176">
        <f t="shared" si="13"/>
        <v>4.5306955200000001</v>
      </c>
      <c r="I416" s="177" t="s">
        <v>1492</v>
      </c>
      <c r="J416" s="178"/>
    </row>
    <row r="417" spans="1:10" ht="14.9" customHeight="1">
      <c r="A417" s="173">
        <v>3.9129999999999998</v>
      </c>
      <c r="B417" s="174" t="s">
        <v>590</v>
      </c>
      <c r="C417" s="174" t="s">
        <v>1857</v>
      </c>
      <c r="D417" s="175">
        <v>3</v>
      </c>
      <c r="E417" s="175">
        <v>0</v>
      </c>
      <c r="F417" s="175">
        <v>158</v>
      </c>
      <c r="G417" s="176">
        <f t="shared" si="12"/>
        <v>0</v>
      </c>
      <c r="H417" s="176">
        <f t="shared" si="13"/>
        <v>4.4740618259999998</v>
      </c>
      <c r="I417" s="177" t="s">
        <v>1492</v>
      </c>
      <c r="J417" s="178"/>
    </row>
    <row r="418" spans="1:10" ht="14.9" customHeight="1">
      <c r="A418" s="173">
        <v>3.9129999999999998</v>
      </c>
      <c r="B418" s="174" t="s">
        <v>589</v>
      </c>
      <c r="C418" s="174" t="s">
        <v>1857</v>
      </c>
      <c r="D418" s="175">
        <v>3</v>
      </c>
      <c r="E418" s="175">
        <v>0</v>
      </c>
      <c r="F418" s="175">
        <v>155</v>
      </c>
      <c r="G418" s="176">
        <f t="shared" si="12"/>
        <v>0</v>
      </c>
      <c r="H418" s="176">
        <f t="shared" si="13"/>
        <v>4.3891112850000003</v>
      </c>
      <c r="I418" s="177" t="s">
        <v>1492</v>
      </c>
      <c r="J418" s="178"/>
    </row>
    <row r="419" spans="1:10" ht="14.9" customHeight="1">
      <c r="A419" s="173">
        <v>3.9129999999999998</v>
      </c>
      <c r="B419" s="174" t="s">
        <v>587</v>
      </c>
      <c r="C419" s="174" t="s">
        <v>1857</v>
      </c>
      <c r="D419" s="175">
        <v>3</v>
      </c>
      <c r="E419" s="175">
        <v>0</v>
      </c>
      <c r="F419" s="175">
        <v>167</v>
      </c>
      <c r="G419" s="176">
        <f t="shared" si="12"/>
        <v>0</v>
      </c>
      <c r="H419" s="176">
        <f t="shared" si="13"/>
        <v>4.7289134490000002</v>
      </c>
      <c r="I419" s="177" t="s">
        <v>1492</v>
      </c>
      <c r="J419" s="178"/>
    </row>
    <row r="420" spans="1:10" ht="14.9" customHeight="1">
      <c r="A420" s="173">
        <v>3.92</v>
      </c>
      <c r="B420" s="174" t="s">
        <v>574</v>
      </c>
      <c r="C420" s="174" t="s">
        <v>1859</v>
      </c>
      <c r="D420" s="175">
        <v>4</v>
      </c>
      <c r="E420" s="175">
        <v>28</v>
      </c>
      <c r="F420" s="175">
        <v>1979</v>
      </c>
      <c r="G420" s="176">
        <f t="shared" si="12"/>
        <v>2.60128512</v>
      </c>
      <c r="H420" s="176">
        <f t="shared" si="13"/>
        <v>56.039040213</v>
      </c>
      <c r="I420" s="177" t="s">
        <v>1492</v>
      </c>
      <c r="J420" s="178"/>
    </row>
    <row r="421" spans="1:10" ht="14.9" customHeight="1">
      <c r="A421" s="173">
        <v>3.93</v>
      </c>
      <c r="B421" s="174" t="s">
        <v>571</v>
      </c>
      <c r="C421" s="174" t="s">
        <v>1860</v>
      </c>
      <c r="D421" s="175">
        <v>4</v>
      </c>
      <c r="E421" s="175">
        <v>0</v>
      </c>
      <c r="F421" s="175">
        <v>527</v>
      </c>
      <c r="G421" s="176">
        <f t="shared" si="12"/>
        <v>0</v>
      </c>
      <c r="H421" s="176">
        <f t="shared" si="13"/>
        <v>14.922978368999999</v>
      </c>
      <c r="I421" s="177" t="s">
        <v>1492</v>
      </c>
      <c r="J421" s="178"/>
    </row>
    <row r="422" spans="1:10" ht="14.9" customHeight="1">
      <c r="A422" s="173">
        <v>3.93</v>
      </c>
      <c r="B422" s="174" t="s">
        <v>570</v>
      </c>
      <c r="C422" s="174" t="s">
        <v>1860</v>
      </c>
      <c r="D422" s="175">
        <v>4</v>
      </c>
      <c r="E422" s="175">
        <v>0</v>
      </c>
      <c r="F422" s="175">
        <v>527</v>
      </c>
      <c r="G422" s="176">
        <f t="shared" si="12"/>
        <v>0</v>
      </c>
      <c r="H422" s="176">
        <f t="shared" si="13"/>
        <v>14.922978368999999</v>
      </c>
      <c r="I422" s="177" t="s">
        <v>1492</v>
      </c>
      <c r="J422" s="178"/>
    </row>
    <row r="423" spans="1:10" ht="14.9" customHeight="1">
      <c r="A423" s="173">
        <v>3.93</v>
      </c>
      <c r="B423" s="174" t="s">
        <v>569</v>
      </c>
      <c r="C423" s="174" t="s">
        <v>1860</v>
      </c>
      <c r="D423" s="175">
        <v>4</v>
      </c>
      <c r="E423" s="175">
        <v>0</v>
      </c>
      <c r="F423" s="175">
        <v>524</v>
      </c>
      <c r="G423" s="176">
        <f t="shared" si="12"/>
        <v>0</v>
      </c>
      <c r="H423" s="176">
        <f t="shared" si="13"/>
        <v>14.838027828</v>
      </c>
      <c r="I423" s="177" t="s">
        <v>1492</v>
      </c>
      <c r="J423" s="178"/>
    </row>
    <row r="424" spans="1:10" ht="14.9" customHeight="1">
      <c r="A424" s="173">
        <v>3.93</v>
      </c>
      <c r="B424" s="174" t="s">
        <v>568</v>
      </c>
      <c r="C424" s="174" t="s">
        <v>1860</v>
      </c>
      <c r="D424" s="175">
        <v>4</v>
      </c>
      <c r="E424" s="175">
        <v>0</v>
      </c>
      <c r="F424" s="175">
        <v>524</v>
      </c>
      <c r="G424" s="176">
        <f t="shared" si="12"/>
        <v>0</v>
      </c>
      <c r="H424" s="176">
        <f t="shared" si="13"/>
        <v>14.838027828</v>
      </c>
      <c r="I424" s="177" t="s">
        <v>1492</v>
      </c>
      <c r="J424" s="178"/>
    </row>
    <row r="425" spans="1:10" ht="14.9" customHeight="1">
      <c r="A425" s="173">
        <v>3.9409999999999998</v>
      </c>
      <c r="B425" s="174" t="s">
        <v>565</v>
      </c>
      <c r="C425" s="174" t="s">
        <v>1861</v>
      </c>
      <c r="D425" s="175">
        <v>4</v>
      </c>
      <c r="E425" s="175">
        <v>242</v>
      </c>
      <c r="F425" s="175">
        <v>2373</v>
      </c>
      <c r="G425" s="176">
        <f t="shared" si="12"/>
        <v>22.482535680000002</v>
      </c>
      <c r="H425" s="176">
        <f t="shared" si="13"/>
        <v>67.195877930999998</v>
      </c>
      <c r="I425" s="177" t="s">
        <v>1492</v>
      </c>
      <c r="J425" s="178"/>
    </row>
    <row r="426" spans="1:10" ht="14.9" customHeight="1">
      <c r="A426" s="173">
        <v>3.9409999999999998</v>
      </c>
      <c r="B426" s="174" t="s">
        <v>563</v>
      </c>
      <c r="C426" s="174" t="s">
        <v>1862</v>
      </c>
      <c r="D426" s="175">
        <v>4</v>
      </c>
      <c r="E426" s="175">
        <v>0</v>
      </c>
      <c r="F426" s="175">
        <v>1465</v>
      </c>
      <c r="G426" s="176">
        <f t="shared" si="12"/>
        <v>0</v>
      </c>
      <c r="H426" s="176">
        <f t="shared" si="13"/>
        <v>41.484180854999998</v>
      </c>
      <c r="I426" s="177" t="s">
        <v>1492</v>
      </c>
      <c r="J426" s="178"/>
    </row>
    <row r="427" spans="1:10" ht="14.9" customHeight="1">
      <c r="A427" s="173">
        <v>3.9409999999999998</v>
      </c>
      <c r="B427" s="174" t="s">
        <v>578</v>
      </c>
      <c r="C427" s="174" t="s">
        <v>1863</v>
      </c>
      <c r="D427" s="175">
        <v>5</v>
      </c>
      <c r="E427" s="175">
        <v>0</v>
      </c>
      <c r="F427" s="182">
        <v>337</v>
      </c>
      <c r="G427" s="176">
        <f t="shared" si="12"/>
        <v>0</v>
      </c>
      <c r="H427" s="176">
        <f t="shared" si="13"/>
        <v>9.542777439</v>
      </c>
      <c r="I427" s="177" t="s">
        <v>1492</v>
      </c>
      <c r="J427" s="178"/>
    </row>
    <row r="428" spans="1:10" ht="14.9" customHeight="1">
      <c r="A428" s="173">
        <v>3.9409999999999998</v>
      </c>
      <c r="B428" s="174" t="s">
        <v>546</v>
      </c>
      <c r="C428" s="174" t="s">
        <v>1864</v>
      </c>
      <c r="D428" s="175">
        <v>5</v>
      </c>
      <c r="E428" s="175">
        <v>0</v>
      </c>
      <c r="F428" s="182">
        <v>161</v>
      </c>
      <c r="G428" s="176">
        <f t="shared" si="12"/>
        <v>0</v>
      </c>
      <c r="H428" s="176">
        <f t="shared" si="13"/>
        <v>4.5590123670000002</v>
      </c>
      <c r="I428" s="177" t="s">
        <v>1492</v>
      </c>
      <c r="J428" s="178"/>
    </row>
    <row r="429" spans="1:10" ht="14.9" customHeight="1">
      <c r="A429" s="173">
        <v>3.9409999999999998</v>
      </c>
      <c r="B429" s="174" t="s">
        <v>577</v>
      </c>
      <c r="C429" s="174" t="s">
        <v>1865</v>
      </c>
      <c r="D429" s="175">
        <v>5</v>
      </c>
      <c r="E429" s="175">
        <v>0</v>
      </c>
      <c r="F429" s="182">
        <v>289</v>
      </c>
      <c r="G429" s="176">
        <f t="shared" si="12"/>
        <v>0</v>
      </c>
      <c r="H429" s="176">
        <f t="shared" si="13"/>
        <v>8.1835687830000001</v>
      </c>
      <c r="I429" s="177" t="s">
        <v>1492</v>
      </c>
      <c r="J429" s="178"/>
    </row>
    <row r="430" spans="1:10" ht="14.9" customHeight="1">
      <c r="A430" s="173">
        <v>3.9409999999999998</v>
      </c>
      <c r="B430" s="174" t="s">
        <v>545</v>
      </c>
      <c r="C430" s="174" t="s">
        <v>1866</v>
      </c>
      <c r="D430" s="175">
        <v>5</v>
      </c>
      <c r="E430" s="175">
        <v>0</v>
      </c>
      <c r="F430" s="182">
        <v>160</v>
      </c>
      <c r="G430" s="176">
        <f t="shared" si="12"/>
        <v>0</v>
      </c>
      <c r="H430" s="176">
        <f t="shared" si="13"/>
        <v>4.5306955200000001</v>
      </c>
      <c r="I430" s="177" t="s">
        <v>1492</v>
      </c>
      <c r="J430" s="178"/>
    </row>
    <row r="431" spans="1:10" ht="14.9" customHeight="1">
      <c r="A431" s="173">
        <v>3.9420000000000002</v>
      </c>
      <c r="B431" s="174" t="s">
        <v>458</v>
      </c>
      <c r="C431" s="174" t="s">
        <v>1867</v>
      </c>
      <c r="D431" s="175">
        <v>4</v>
      </c>
      <c r="E431" s="175">
        <v>0</v>
      </c>
      <c r="F431" s="175">
        <v>180</v>
      </c>
      <c r="G431" s="176">
        <f t="shared" si="12"/>
        <v>0</v>
      </c>
      <c r="H431" s="176">
        <f t="shared" si="13"/>
        <v>5.0970324599999994</v>
      </c>
      <c r="I431" s="177" t="s">
        <v>1492</v>
      </c>
      <c r="J431" s="178"/>
    </row>
    <row r="432" spans="1:10" ht="14.9" customHeight="1">
      <c r="A432" s="173">
        <v>3.9420000000000002</v>
      </c>
      <c r="B432" s="174" t="s">
        <v>457</v>
      </c>
      <c r="C432" s="174" t="s">
        <v>1868</v>
      </c>
      <c r="D432" s="175">
        <v>4</v>
      </c>
      <c r="E432" s="175">
        <v>0</v>
      </c>
      <c r="F432" s="175">
        <v>173</v>
      </c>
      <c r="G432" s="176">
        <f t="shared" si="12"/>
        <v>0</v>
      </c>
      <c r="H432" s="176">
        <f t="shared" si="13"/>
        <v>4.8988145310000002</v>
      </c>
      <c r="I432" s="177" t="s">
        <v>1492</v>
      </c>
      <c r="J432" s="178"/>
    </row>
    <row r="433" spans="1:10" ht="14.9" customHeight="1">
      <c r="A433" s="173">
        <v>3.9420000000000002</v>
      </c>
      <c r="B433" s="174" t="s">
        <v>550</v>
      </c>
      <c r="C433" s="174" t="s">
        <v>1869</v>
      </c>
      <c r="D433" s="175">
        <v>5</v>
      </c>
      <c r="E433" s="175">
        <v>0</v>
      </c>
      <c r="F433" s="182">
        <v>81</v>
      </c>
      <c r="G433" s="176">
        <f t="shared" si="12"/>
        <v>0</v>
      </c>
      <c r="H433" s="176">
        <f t="shared" si="13"/>
        <v>2.2936646069999997</v>
      </c>
      <c r="I433" s="177" t="s">
        <v>1492</v>
      </c>
      <c r="J433" s="178"/>
    </row>
    <row r="434" spans="1:10" ht="14.9" customHeight="1">
      <c r="A434" s="173">
        <v>3.9420000000000002</v>
      </c>
      <c r="B434" s="174" t="s">
        <v>557</v>
      </c>
      <c r="C434" s="174" t="s">
        <v>1870</v>
      </c>
      <c r="D434" s="175">
        <v>5</v>
      </c>
      <c r="E434" s="175">
        <v>0</v>
      </c>
      <c r="F434" s="182">
        <v>391</v>
      </c>
      <c r="G434" s="176">
        <f t="shared" si="12"/>
        <v>0</v>
      </c>
      <c r="H434" s="176">
        <f t="shared" si="13"/>
        <v>11.071887176999999</v>
      </c>
      <c r="I434" s="177" t="s">
        <v>1492</v>
      </c>
      <c r="J434" s="178"/>
    </row>
    <row r="435" spans="1:10" ht="14.9" customHeight="1">
      <c r="A435" s="173">
        <v>3.9420000000000002</v>
      </c>
      <c r="B435" s="174" t="s">
        <v>560</v>
      </c>
      <c r="C435" s="174" t="s">
        <v>1871</v>
      </c>
      <c r="D435" s="175">
        <v>5</v>
      </c>
      <c r="E435" s="175">
        <v>0</v>
      </c>
      <c r="F435" s="182">
        <v>391</v>
      </c>
      <c r="G435" s="176">
        <f t="shared" si="12"/>
        <v>0</v>
      </c>
      <c r="H435" s="176">
        <f t="shared" si="13"/>
        <v>11.071887176999999</v>
      </c>
      <c r="I435" s="177" t="s">
        <v>1492</v>
      </c>
      <c r="J435" s="178"/>
    </row>
    <row r="436" spans="1:10" ht="14.9" customHeight="1">
      <c r="A436" s="173">
        <v>3.9420000000000002</v>
      </c>
      <c r="B436" s="174" t="s">
        <v>548</v>
      </c>
      <c r="C436" s="174" t="s">
        <v>1872</v>
      </c>
      <c r="D436" s="175">
        <v>5</v>
      </c>
      <c r="E436" s="175">
        <v>0</v>
      </c>
      <c r="F436" s="182">
        <v>80</v>
      </c>
      <c r="G436" s="176">
        <f t="shared" si="12"/>
        <v>0</v>
      </c>
      <c r="H436" s="176">
        <f t="shared" si="13"/>
        <v>2.26534776</v>
      </c>
      <c r="I436" s="177" t="s">
        <v>1492</v>
      </c>
      <c r="J436" s="178"/>
    </row>
    <row r="437" spans="1:10" ht="14.9" customHeight="1">
      <c r="A437" s="173">
        <v>3.95</v>
      </c>
      <c r="B437" s="174" t="s">
        <v>542</v>
      </c>
      <c r="C437" s="174" t="s">
        <v>1873</v>
      </c>
      <c r="D437" s="183" t="s">
        <v>1507</v>
      </c>
      <c r="E437" s="182">
        <v>8</v>
      </c>
      <c r="F437" s="182">
        <v>68</v>
      </c>
      <c r="G437" s="176">
        <f t="shared" si="12"/>
        <v>0.74322432000000005</v>
      </c>
      <c r="H437" s="176">
        <f t="shared" si="13"/>
        <v>1.9255455959999999</v>
      </c>
      <c r="I437" s="177" t="s">
        <v>1492</v>
      </c>
      <c r="J437" s="178"/>
    </row>
    <row r="438" spans="1:10" ht="14.9" customHeight="1">
      <c r="A438" s="179">
        <v>3.95</v>
      </c>
      <c r="B438" s="180" t="s">
        <v>1874</v>
      </c>
      <c r="C438" s="180" t="s">
        <v>1875</v>
      </c>
      <c r="D438" s="181" t="s">
        <v>1510</v>
      </c>
      <c r="E438" s="182">
        <v>93</v>
      </c>
      <c r="F438" s="182">
        <v>391</v>
      </c>
      <c r="G438" s="176">
        <f t="shared" si="12"/>
        <v>8.6399827200000008</v>
      </c>
      <c r="H438" s="176">
        <f t="shared" si="13"/>
        <v>11.071887176999999</v>
      </c>
      <c r="I438" s="177" t="s">
        <v>1492</v>
      </c>
      <c r="J438" s="178"/>
    </row>
    <row r="439" spans="1:10" ht="14.9" customHeight="1">
      <c r="A439" s="173">
        <v>3.95</v>
      </c>
      <c r="B439" s="174" t="s">
        <v>1876</v>
      </c>
      <c r="C439" s="174" t="s">
        <v>1873</v>
      </c>
      <c r="D439" s="175">
        <v>3</v>
      </c>
      <c r="E439" s="175">
        <v>428</v>
      </c>
      <c r="F439" s="175">
        <v>1514</v>
      </c>
      <c r="G439" s="176">
        <f t="shared" si="12"/>
        <v>39.762501120000003</v>
      </c>
      <c r="H439" s="176">
        <f t="shared" si="13"/>
        <v>42.871706357999997</v>
      </c>
      <c r="I439" s="177" t="s">
        <v>1492</v>
      </c>
      <c r="J439" s="178"/>
    </row>
    <row r="440" spans="1:10" ht="14.9" customHeight="1">
      <c r="A440" s="173">
        <v>3.95</v>
      </c>
      <c r="B440" s="174" t="s">
        <v>1877</v>
      </c>
      <c r="C440" s="174" t="s">
        <v>1878</v>
      </c>
      <c r="D440" s="175">
        <v>5</v>
      </c>
      <c r="E440" s="175">
        <v>0</v>
      </c>
      <c r="F440" s="182">
        <v>177</v>
      </c>
      <c r="G440" s="176">
        <f t="shared" si="12"/>
        <v>0</v>
      </c>
      <c r="H440" s="176">
        <f t="shared" si="13"/>
        <v>5.0120819189999999</v>
      </c>
      <c r="I440" s="177" t="s">
        <v>1492</v>
      </c>
      <c r="J440" s="178"/>
    </row>
    <row r="441" spans="1:10" ht="14.9" customHeight="1">
      <c r="A441" s="173">
        <v>3.95</v>
      </c>
      <c r="B441" s="174" t="s">
        <v>1879</v>
      </c>
      <c r="C441" s="174" t="s">
        <v>1873</v>
      </c>
      <c r="D441" s="175">
        <v>5</v>
      </c>
      <c r="E441" s="175">
        <v>0</v>
      </c>
      <c r="F441" s="182">
        <v>289</v>
      </c>
      <c r="G441" s="176">
        <f t="shared" si="12"/>
        <v>0</v>
      </c>
      <c r="H441" s="176">
        <f t="shared" si="13"/>
        <v>8.1835687830000001</v>
      </c>
      <c r="I441" s="177" t="s">
        <v>1492</v>
      </c>
      <c r="J441" s="178"/>
    </row>
    <row r="442" spans="1:10" ht="14.9" customHeight="1">
      <c r="A442" s="179">
        <v>3.95</v>
      </c>
      <c r="B442" s="180" t="s">
        <v>1880</v>
      </c>
      <c r="C442" s="180" t="s">
        <v>1873</v>
      </c>
      <c r="D442" s="182">
        <v>6</v>
      </c>
      <c r="E442" s="182">
        <v>0</v>
      </c>
      <c r="F442" s="182">
        <v>357</v>
      </c>
      <c r="G442" s="176">
        <f t="shared" si="12"/>
        <v>0</v>
      </c>
      <c r="H442" s="176">
        <f t="shared" si="13"/>
        <v>10.109114378999999</v>
      </c>
      <c r="I442" s="177" t="s">
        <v>1492</v>
      </c>
      <c r="J442" s="178"/>
    </row>
    <row r="443" spans="1:10" ht="14.9" customHeight="1">
      <c r="A443" s="179">
        <v>3.95</v>
      </c>
      <c r="B443" s="180" t="s">
        <v>1881</v>
      </c>
      <c r="C443" s="180" t="s">
        <v>1875</v>
      </c>
      <c r="D443" s="182">
        <v>7</v>
      </c>
      <c r="E443" s="182">
        <v>0</v>
      </c>
      <c r="F443" s="182">
        <v>452</v>
      </c>
      <c r="G443" s="176">
        <f t="shared" si="12"/>
        <v>0</v>
      </c>
      <c r="H443" s="176">
        <f t="shared" si="13"/>
        <v>12.799214844</v>
      </c>
      <c r="I443" s="177" t="s">
        <v>1492</v>
      </c>
      <c r="J443" s="178"/>
    </row>
    <row r="444" spans="1:10" ht="14.9" customHeight="1">
      <c r="A444" s="179">
        <v>3.95</v>
      </c>
      <c r="B444" s="180" t="s">
        <v>1882</v>
      </c>
      <c r="C444" s="180" t="s">
        <v>1875</v>
      </c>
      <c r="D444" s="182">
        <v>7</v>
      </c>
      <c r="E444" s="182">
        <v>0</v>
      </c>
      <c r="F444" s="182">
        <v>68</v>
      </c>
      <c r="G444" s="176">
        <f t="shared" si="12"/>
        <v>0</v>
      </c>
      <c r="H444" s="176">
        <f t="shared" si="13"/>
        <v>1.9255455959999999</v>
      </c>
      <c r="I444" s="177" t="s">
        <v>1492</v>
      </c>
      <c r="J444" s="178"/>
    </row>
    <row r="445" spans="1:10" ht="14.9" customHeight="1">
      <c r="A445" s="179">
        <v>3.95</v>
      </c>
      <c r="B445" s="180" t="s">
        <v>1883</v>
      </c>
      <c r="C445" s="180" t="s">
        <v>1875</v>
      </c>
      <c r="D445" s="182">
        <v>7</v>
      </c>
      <c r="E445" s="182">
        <v>0</v>
      </c>
      <c r="F445" s="182">
        <v>115</v>
      </c>
      <c r="G445" s="176">
        <f t="shared" si="12"/>
        <v>0</v>
      </c>
      <c r="H445" s="176">
        <f t="shared" si="13"/>
        <v>3.2564374049999998</v>
      </c>
      <c r="I445" s="177" t="s">
        <v>1492</v>
      </c>
      <c r="J445" s="178"/>
    </row>
    <row r="446" spans="1:10" ht="14.9" customHeight="1">
      <c r="A446" s="179">
        <v>3.95</v>
      </c>
      <c r="B446" s="180" t="s">
        <v>1884</v>
      </c>
      <c r="C446" s="180" t="s">
        <v>1875</v>
      </c>
      <c r="D446" s="182">
        <v>7</v>
      </c>
      <c r="E446" s="182">
        <v>0</v>
      </c>
      <c r="F446" s="182">
        <v>118</v>
      </c>
      <c r="G446" s="176">
        <f t="shared" si="12"/>
        <v>0</v>
      </c>
      <c r="H446" s="176">
        <f t="shared" si="13"/>
        <v>3.3413879459999998</v>
      </c>
      <c r="I446" s="177" t="s">
        <v>1492</v>
      </c>
      <c r="J446" s="178"/>
    </row>
    <row r="447" spans="1:10" ht="14.9" customHeight="1">
      <c r="A447" s="173">
        <v>3.96</v>
      </c>
      <c r="B447" s="174" t="s">
        <v>523</v>
      </c>
      <c r="C447" s="174" t="s">
        <v>1885</v>
      </c>
      <c r="D447" s="175">
        <v>5</v>
      </c>
      <c r="E447" s="175">
        <v>0</v>
      </c>
      <c r="F447" s="182">
        <v>445</v>
      </c>
      <c r="G447" s="176">
        <f t="shared" si="12"/>
        <v>0</v>
      </c>
      <c r="H447" s="176">
        <f t="shared" si="13"/>
        <v>12.600996915</v>
      </c>
      <c r="I447" s="177" t="s">
        <v>1492</v>
      </c>
      <c r="J447" s="178"/>
    </row>
    <row r="448" spans="1:10" ht="14.9" customHeight="1">
      <c r="A448" s="173">
        <v>3.96</v>
      </c>
      <c r="B448" s="174" t="s">
        <v>522</v>
      </c>
      <c r="C448" s="174" t="s">
        <v>1885</v>
      </c>
      <c r="D448" s="175">
        <v>5</v>
      </c>
      <c r="E448" s="175">
        <v>0</v>
      </c>
      <c r="F448" s="182">
        <v>1694</v>
      </c>
      <c r="G448" s="176">
        <f t="shared" si="12"/>
        <v>0</v>
      </c>
      <c r="H448" s="176">
        <f t="shared" si="13"/>
        <v>47.968738817999999</v>
      </c>
      <c r="I448" s="177" t="s">
        <v>1492</v>
      </c>
      <c r="J448" s="178"/>
    </row>
    <row r="449" spans="1:10" ht="14.9" customHeight="1">
      <c r="A449" s="173">
        <v>4.141</v>
      </c>
      <c r="B449" s="174" t="s">
        <v>516</v>
      </c>
      <c r="C449" s="174" t="s">
        <v>1886</v>
      </c>
      <c r="D449" s="175">
        <v>4</v>
      </c>
      <c r="E449" s="175">
        <v>0</v>
      </c>
      <c r="F449" s="175">
        <v>51963</v>
      </c>
      <c r="G449" s="176">
        <f t="shared" si="12"/>
        <v>0</v>
      </c>
      <c r="H449" s="176">
        <f t="shared" si="13"/>
        <v>1471.428320661</v>
      </c>
      <c r="I449" s="177" t="s">
        <v>1503</v>
      </c>
      <c r="J449" s="178"/>
    </row>
    <row r="450" spans="1:10" ht="14.9" customHeight="1">
      <c r="A450" s="173">
        <v>4.141</v>
      </c>
      <c r="B450" s="174" t="s">
        <v>514</v>
      </c>
      <c r="C450" s="174" t="s">
        <v>1887</v>
      </c>
      <c r="D450" s="175">
        <v>4</v>
      </c>
      <c r="E450" s="175">
        <v>0</v>
      </c>
      <c r="F450" s="175">
        <v>66884</v>
      </c>
      <c r="G450" s="176">
        <f t="shared" si="12"/>
        <v>0</v>
      </c>
      <c r="H450" s="176">
        <f t="shared" si="13"/>
        <v>1893.943994748</v>
      </c>
      <c r="I450" s="177" t="s">
        <v>1492</v>
      </c>
      <c r="J450" s="178"/>
    </row>
    <row r="451" spans="1:10" ht="14.9" customHeight="1">
      <c r="A451" s="173">
        <v>4.1420000000000003</v>
      </c>
      <c r="B451" s="180" t="s">
        <v>507</v>
      </c>
      <c r="C451" s="180" t="s">
        <v>1888</v>
      </c>
      <c r="D451" s="181" t="s">
        <v>1498</v>
      </c>
      <c r="E451" s="182">
        <v>163</v>
      </c>
      <c r="F451" s="182">
        <v>1001</v>
      </c>
      <c r="G451" s="176">
        <f t="shared" si="12"/>
        <v>15.143195520000001</v>
      </c>
      <c r="H451" s="176">
        <f t="shared" si="13"/>
        <v>28.345163846999998</v>
      </c>
      <c r="I451" s="177" t="s">
        <v>1492</v>
      </c>
      <c r="J451" s="178"/>
    </row>
    <row r="452" spans="1:10" ht="14.9" customHeight="1">
      <c r="A452" s="173">
        <v>4.1420000000000003</v>
      </c>
      <c r="B452" s="174" t="s">
        <v>511</v>
      </c>
      <c r="C452" s="180" t="s">
        <v>1889</v>
      </c>
      <c r="D452" s="181" t="s">
        <v>1544</v>
      </c>
      <c r="E452" s="182">
        <v>491</v>
      </c>
      <c r="F452" s="182">
        <v>3315</v>
      </c>
      <c r="G452" s="176">
        <f t="shared" si="12"/>
        <v>45.615392640000003</v>
      </c>
      <c r="H452" s="176">
        <f t="shared" si="13"/>
        <v>93.870347804999994</v>
      </c>
      <c r="I452" s="177" t="s">
        <v>1492</v>
      </c>
      <c r="J452" s="178"/>
    </row>
    <row r="453" spans="1:10" ht="14.9" customHeight="1">
      <c r="A453" s="173">
        <v>4.1420000000000003</v>
      </c>
      <c r="B453" s="174" t="s">
        <v>509</v>
      </c>
      <c r="C453" s="180" t="s">
        <v>1890</v>
      </c>
      <c r="D453" s="181" t="s">
        <v>1544</v>
      </c>
      <c r="E453" s="182">
        <v>518</v>
      </c>
      <c r="F453" s="182">
        <v>3647</v>
      </c>
      <c r="G453" s="176">
        <f t="shared" ref="G453:G515" si="14">E453*0.09290304</f>
        <v>48.12377472</v>
      </c>
      <c r="H453" s="176">
        <f t="shared" ref="H453:H515" si="15">F453*0.028316847</f>
        <v>103.271541009</v>
      </c>
      <c r="I453" s="177" t="s">
        <v>1492</v>
      </c>
      <c r="J453" s="178"/>
    </row>
    <row r="454" spans="1:10" ht="14.9" customHeight="1">
      <c r="A454" s="173">
        <v>4.1420000000000003</v>
      </c>
      <c r="B454" s="174" t="s">
        <v>506</v>
      </c>
      <c r="C454" s="180" t="s">
        <v>1891</v>
      </c>
      <c r="D454" s="181" t="s">
        <v>1544</v>
      </c>
      <c r="E454" s="182">
        <v>162</v>
      </c>
      <c r="F454" s="182">
        <v>1213</v>
      </c>
      <c r="G454" s="176">
        <f t="shared" si="14"/>
        <v>15.050292480000001</v>
      </c>
      <c r="H454" s="176">
        <f t="shared" si="15"/>
        <v>34.348335411000001</v>
      </c>
      <c r="I454" s="177" t="s">
        <v>1492</v>
      </c>
      <c r="J454" s="178"/>
    </row>
    <row r="455" spans="1:10" ht="14.9" customHeight="1">
      <c r="A455" s="173">
        <v>4.1420000000000003</v>
      </c>
      <c r="B455" s="174" t="s">
        <v>505</v>
      </c>
      <c r="C455" s="180" t="s">
        <v>1891</v>
      </c>
      <c r="D455" s="181" t="s">
        <v>1544</v>
      </c>
      <c r="E455" s="182">
        <v>284</v>
      </c>
      <c r="F455" s="182">
        <v>1840</v>
      </c>
      <c r="G455" s="176">
        <f t="shared" si="14"/>
        <v>26.384463360000002</v>
      </c>
      <c r="H455" s="176">
        <f t="shared" si="15"/>
        <v>52.102998479999997</v>
      </c>
      <c r="I455" s="177" t="s">
        <v>1492</v>
      </c>
      <c r="J455" s="178"/>
    </row>
    <row r="456" spans="1:10" ht="14.9" customHeight="1">
      <c r="A456" s="173">
        <v>4.1420000000000003</v>
      </c>
      <c r="B456" s="174" t="s">
        <v>494</v>
      </c>
      <c r="C456" s="174" t="s">
        <v>1892</v>
      </c>
      <c r="D456" s="183" t="s">
        <v>1507</v>
      </c>
      <c r="E456" s="182">
        <v>1124</v>
      </c>
      <c r="F456" s="182">
        <v>10872</v>
      </c>
      <c r="G456" s="176">
        <f t="shared" si="14"/>
        <v>104.42301696000001</v>
      </c>
      <c r="H456" s="176">
        <f t="shared" si="15"/>
        <v>307.86076058399999</v>
      </c>
      <c r="I456" s="177" t="s">
        <v>1492</v>
      </c>
      <c r="J456" s="178"/>
    </row>
    <row r="457" spans="1:10" ht="14.9" customHeight="1">
      <c r="A457" s="173">
        <v>4.1420000000000003</v>
      </c>
      <c r="B457" s="174" t="s">
        <v>498</v>
      </c>
      <c r="C457" s="174" t="s">
        <v>1893</v>
      </c>
      <c r="D457" s="175">
        <v>1</v>
      </c>
      <c r="E457" s="175">
        <v>108</v>
      </c>
      <c r="F457" s="175">
        <v>1926</v>
      </c>
      <c r="G457" s="176">
        <f t="shared" si="14"/>
        <v>10.03352832</v>
      </c>
      <c r="H457" s="176">
        <f t="shared" si="15"/>
        <v>54.538247321999997</v>
      </c>
      <c r="I457" s="177" t="s">
        <v>1492</v>
      </c>
      <c r="J457" s="178"/>
    </row>
    <row r="458" spans="1:10" ht="14.9" customHeight="1">
      <c r="A458" s="173">
        <v>4.1420000000000003</v>
      </c>
      <c r="B458" s="174" t="s">
        <v>493</v>
      </c>
      <c r="C458" s="174" t="s">
        <v>1894</v>
      </c>
      <c r="D458" s="175">
        <v>1</v>
      </c>
      <c r="E458" s="175">
        <v>642</v>
      </c>
      <c r="F458" s="175">
        <v>5990</v>
      </c>
      <c r="G458" s="176">
        <f t="shared" si="14"/>
        <v>59.643751680000001</v>
      </c>
      <c r="H458" s="176">
        <f t="shared" si="15"/>
        <v>169.61791352999998</v>
      </c>
      <c r="I458" s="177" t="s">
        <v>1492</v>
      </c>
      <c r="J458" s="178"/>
    </row>
    <row r="459" spans="1:10" ht="14.9" customHeight="1">
      <c r="A459" s="173">
        <v>4.1420000000000003</v>
      </c>
      <c r="B459" s="174" t="s">
        <v>502</v>
      </c>
      <c r="C459" s="174" t="s">
        <v>1895</v>
      </c>
      <c r="D459" s="175">
        <v>1</v>
      </c>
      <c r="E459" s="175">
        <v>108</v>
      </c>
      <c r="F459" s="175">
        <v>1008</v>
      </c>
      <c r="G459" s="176">
        <f t="shared" si="14"/>
        <v>10.03352832</v>
      </c>
      <c r="H459" s="176">
        <f t="shared" si="15"/>
        <v>28.543381776</v>
      </c>
      <c r="I459" s="177" t="s">
        <v>1492</v>
      </c>
      <c r="J459" s="178"/>
    </row>
    <row r="460" spans="1:10" ht="14.9" customHeight="1">
      <c r="A460" s="173">
        <v>4.1420000000000003</v>
      </c>
      <c r="B460" s="174" t="s">
        <v>491</v>
      </c>
      <c r="C460" s="174" t="s">
        <v>1896</v>
      </c>
      <c r="D460" s="175">
        <v>1</v>
      </c>
      <c r="E460" s="175">
        <v>641</v>
      </c>
      <c r="F460" s="175">
        <v>5725</v>
      </c>
      <c r="G460" s="176">
        <f t="shared" si="14"/>
        <v>59.550848640000005</v>
      </c>
      <c r="H460" s="176">
        <f t="shared" si="15"/>
        <v>162.11394907499999</v>
      </c>
      <c r="I460" s="177" t="s">
        <v>1492</v>
      </c>
      <c r="J460" s="178"/>
    </row>
    <row r="461" spans="1:10" ht="14.9" customHeight="1">
      <c r="A461" s="173">
        <v>4.1420000000000003</v>
      </c>
      <c r="B461" s="174" t="s">
        <v>500</v>
      </c>
      <c r="C461" s="174" t="s">
        <v>1897</v>
      </c>
      <c r="D461" s="175">
        <v>1</v>
      </c>
      <c r="E461" s="175">
        <v>99</v>
      </c>
      <c r="F461" s="175">
        <v>1963</v>
      </c>
      <c r="G461" s="176">
        <f t="shared" si="14"/>
        <v>9.1974009600000013</v>
      </c>
      <c r="H461" s="176">
        <f t="shared" si="15"/>
        <v>55.585970660999998</v>
      </c>
      <c r="I461" s="177" t="s">
        <v>1492</v>
      </c>
      <c r="J461" s="178"/>
    </row>
    <row r="462" spans="1:10" ht="14.9" customHeight="1">
      <c r="A462" s="173">
        <v>4.1420000000000003</v>
      </c>
      <c r="B462" s="174" t="s">
        <v>496</v>
      </c>
      <c r="C462" s="174" t="s">
        <v>1898</v>
      </c>
      <c r="D462" s="175">
        <v>1</v>
      </c>
      <c r="E462" s="175">
        <v>99</v>
      </c>
      <c r="F462" s="175">
        <v>924</v>
      </c>
      <c r="G462" s="176">
        <f t="shared" si="14"/>
        <v>9.1974009600000013</v>
      </c>
      <c r="H462" s="176">
        <f t="shared" si="15"/>
        <v>26.164766627999999</v>
      </c>
      <c r="I462" s="177" t="s">
        <v>1492</v>
      </c>
      <c r="J462" s="178"/>
    </row>
    <row r="463" spans="1:10" ht="14.9" customHeight="1">
      <c r="A463" s="173">
        <v>4.1429999999999998</v>
      </c>
      <c r="B463" s="174" t="s">
        <v>488</v>
      </c>
      <c r="C463" s="180" t="s">
        <v>1899</v>
      </c>
      <c r="D463" s="181" t="s">
        <v>1544</v>
      </c>
      <c r="E463" s="182">
        <v>768</v>
      </c>
      <c r="F463" s="182">
        <v>4959</v>
      </c>
      <c r="G463" s="176">
        <f t="shared" si="14"/>
        <v>71.349534720000008</v>
      </c>
      <c r="H463" s="176">
        <f t="shared" si="15"/>
        <v>140.42324427299999</v>
      </c>
      <c r="I463" s="177" t="s">
        <v>1492</v>
      </c>
      <c r="J463" s="178" t="s">
        <v>1599</v>
      </c>
    </row>
    <row r="464" spans="1:10" ht="14.9" customHeight="1">
      <c r="A464" s="173">
        <v>4.1429999999999998</v>
      </c>
      <c r="B464" s="174" t="s">
        <v>486</v>
      </c>
      <c r="C464" s="180" t="s">
        <v>1900</v>
      </c>
      <c r="D464" s="181" t="s">
        <v>1544</v>
      </c>
      <c r="E464" s="182">
        <v>781</v>
      </c>
      <c r="F464" s="182">
        <v>5121</v>
      </c>
      <c r="G464" s="176">
        <f t="shared" si="14"/>
        <v>72.557274239999998</v>
      </c>
      <c r="H464" s="176">
        <f t="shared" si="15"/>
        <v>145.01057348699999</v>
      </c>
      <c r="I464" s="177" t="s">
        <v>1492</v>
      </c>
      <c r="J464" s="178" t="s">
        <v>1599</v>
      </c>
    </row>
    <row r="465" spans="1:10" ht="14.9" customHeight="1">
      <c r="A465" s="173">
        <v>4.1429999999999998</v>
      </c>
      <c r="B465" s="174" t="s">
        <v>485</v>
      </c>
      <c r="C465" s="174" t="s">
        <v>1900</v>
      </c>
      <c r="D465" s="183" t="s">
        <v>1507</v>
      </c>
      <c r="E465" s="182">
        <v>615</v>
      </c>
      <c r="F465" s="182">
        <v>6602</v>
      </c>
      <c r="G465" s="176">
        <f t="shared" si="14"/>
        <v>57.135369600000004</v>
      </c>
      <c r="H465" s="176">
        <f t="shared" si="15"/>
        <v>186.94782389399998</v>
      </c>
      <c r="I465" s="177" t="s">
        <v>1492</v>
      </c>
      <c r="J465" s="178"/>
    </row>
    <row r="466" spans="1:10" ht="14.9" customHeight="1">
      <c r="A466" s="173">
        <v>4.3099999999999996</v>
      </c>
      <c r="B466" s="174" t="s">
        <v>453</v>
      </c>
      <c r="C466" s="174" t="s">
        <v>1901</v>
      </c>
      <c r="D466" s="175">
        <v>4</v>
      </c>
      <c r="E466" s="175">
        <v>0</v>
      </c>
      <c r="F466" s="175">
        <v>31530</v>
      </c>
      <c r="G466" s="176">
        <f t="shared" si="14"/>
        <v>0</v>
      </c>
      <c r="H466" s="176">
        <f t="shared" si="15"/>
        <v>892.83018590999995</v>
      </c>
      <c r="I466" s="177" t="s">
        <v>1492</v>
      </c>
      <c r="J466" s="178"/>
    </row>
    <row r="467" spans="1:10" ht="14.9" customHeight="1">
      <c r="A467" s="173">
        <v>4.3099999999999996</v>
      </c>
      <c r="B467" s="174" t="s">
        <v>450</v>
      </c>
      <c r="C467" s="174" t="s">
        <v>1902</v>
      </c>
      <c r="D467" s="175">
        <v>4</v>
      </c>
      <c r="E467" s="175">
        <v>0</v>
      </c>
      <c r="F467" s="175">
        <v>11824</v>
      </c>
      <c r="G467" s="176">
        <f t="shared" si="14"/>
        <v>0</v>
      </c>
      <c r="H467" s="176">
        <f t="shared" si="15"/>
        <v>334.81839892799997</v>
      </c>
      <c r="I467" s="177" t="s">
        <v>1492</v>
      </c>
      <c r="J467" s="178"/>
    </row>
    <row r="468" spans="1:10" ht="14.9" customHeight="1">
      <c r="A468" s="173">
        <v>4.32</v>
      </c>
      <c r="B468" s="174" t="s">
        <v>442</v>
      </c>
      <c r="C468" s="180" t="s">
        <v>1903</v>
      </c>
      <c r="D468" s="181" t="s">
        <v>1544</v>
      </c>
      <c r="E468" s="182">
        <v>18</v>
      </c>
      <c r="F468" s="182">
        <v>147</v>
      </c>
      <c r="G468" s="176">
        <f t="shared" si="14"/>
        <v>1.6722547200000002</v>
      </c>
      <c r="H468" s="176">
        <f t="shared" si="15"/>
        <v>4.162576509</v>
      </c>
      <c r="I468" s="177" t="s">
        <v>1492</v>
      </c>
      <c r="J468" s="178"/>
    </row>
    <row r="469" spans="1:10" ht="14.9" customHeight="1">
      <c r="A469" s="173">
        <v>4.32</v>
      </c>
      <c r="B469" s="174" t="s">
        <v>930</v>
      </c>
      <c r="C469" s="174" t="s">
        <v>1904</v>
      </c>
      <c r="D469" s="175">
        <v>2</v>
      </c>
      <c r="E469" s="175">
        <v>144</v>
      </c>
      <c r="F469" s="175">
        <v>1321</v>
      </c>
      <c r="G469" s="176">
        <f t="shared" si="14"/>
        <v>13.378037760000002</v>
      </c>
      <c r="H469" s="176">
        <f t="shared" si="15"/>
        <v>37.406554886999999</v>
      </c>
      <c r="I469" s="177" t="s">
        <v>1492</v>
      </c>
      <c r="J469" s="178"/>
    </row>
    <row r="470" spans="1:10" ht="14.9" customHeight="1">
      <c r="A470" s="173">
        <v>4.32</v>
      </c>
      <c r="B470" s="174" t="s">
        <v>446</v>
      </c>
      <c r="C470" s="174" t="s">
        <v>1905</v>
      </c>
      <c r="D470" s="175">
        <v>5</v>
      </c>
      <c r="E470" s="175">
        <v>0</v>
      </c>
      <c r="F470" s="182">
        <v>12008</v>
      </c>
      <c r="G470" s="176">
        <f t="shared" si="14"/>
        <v>0</v>
      </c>
      <c r="H470" s="176">
        <f t="shared" si="15"/>
        <v>340.028698776</v>
      </c>
      <c r="I470" s="177" t="s">
        <v>1492</v>
      </c>
      <c r="J470" s="178"/>
    </row>
    <row r="471" spans="1:10" ht="14.9" customHeight="1">
      <c r="A471" s="179">
        <v>4.3310000000000004</v>
      </c>
      <c r="B471" s="180" t="s">
        <v>474</v>
      </c>
      <c r="C471" s="180" t="s">
        <v>1906</v>
      </c>
      <c r="D471" s="181" t="s">
        <v>1498</v>
      </c>
      <c r="E471" s="182">
        <v>134</v>
      </c>
      <c r="F471" s="182">
        <v>1056</v>
      </c>
      <c r="G471" s="176">
        <f t="shared" si="14"/>
        <v>12.449007360000001</v>
      </c>
      <c r="H471" s="176">
        <f t="shared" si="15"/>
        <v>29.902590432</v>
      </c>
      <c r="I471" s="177" t="s">
        <v>1492</v>
      </c>
      <c r="J471" s="178"/>
    </row>
    <row r="472" spans="1:10" ht="14.9" customHeight="1">
      <c r="A472" s="173">
        <v>4.3310000000000004</v>
      </c>
      <c r="B472" s="174" t="s">
        <v>476</v>
      </c>
      <c r="C472" s="180" t="s">
        <v>1907</v>
      </c>
      <c r="D472" s="181" t="s">
        <v>1544</v>
      </c>
      <c r="E472" s="182">
        <v>130</v>
      </c>
      <c r="F472" s="182">
        <v>1061</v>
      </c>
      <c r="G472" s="176">
        <f t="shared" si="14"/>
        <v>12.077395200000002</v>
      </c>
      <c r="H472" s="176">
        <f t="shared" si="15"/>
        <v>30.044174667</v>
      </c>
      <c r="I472" s="177" t="s">
        <v>1492</v>
      </c>
      <c r="J472" s="178"/>
    </row>
    <row r="473" spans="1:10" ht="14.9" customHeight="1">
      <c r="A473" s="173">
        <v>4.3310000000000004</v>
      </c>
      <c r="B473" s="174" t="s">
        <v>432</v>
      </c>
      <c r="C473" s="174" t="s">
        <v>1908</v>
      </c>
      <c r="D473" s="183" t="s">
        <v>1507</v>
      </c>
      <c r="E473" s="182">
        <v>41</v>
      </c>
      <c r="F473" s="182">
        <v>301</v>
      </c>
      <c r="G473" s="176">
        <f t="shared" si="14"/>
        <v>3.8090246400000001</v>
      </c>
      <c r="H473" s="176">
        <f t="shared" si="15"/>
        <v>8.5233709470000001</v>
      </c>
      <c r="I473" s="177" t="s">
        <v>1492</v>
      </c>
      <c r="J473" s="178"/>
    </row>
    <row r="474" spans="1:10" ht="14.9" customHeight="1">
      <c r="A474" s="173">
        <v>4.3310000000000004</v>
      </c>
      <c r="B474" s="174" t="s">
        <v>473</v>
      </c>
      <c r="C474" s="174" t="s">
        <v>1906</v>
      </c>
      <c r="D474" s="183" t="s">
        <v>1507</v>
      </c>
      <c r="E474" s="182">
        <v>108</v>
      </c>
      <c r="F474" s="182">
        <v>1091</v>
      </c>
      <c r="G474" s="176">
        <f t="shared" si="14"/>
        <v>10.03352832</v>
      </c>
      <c r="H474" s="176">
        <f t="shared" si="15"/>
        <v>30.893680076999999</v>
      </c>
      <c r="I474" s="177" t="s">
        <v>1492</v>
      </c>
      <c r="J474" s="178"/>
    </row>
    <row r="475" spans="1:10" ht="14.9" customHeight="1">
      <c r="A475" s="179">
        <v>4.3310000000000004</v>
      </c>
      <c r="B475" s="180" t="s">
        <v>471</v>
      </c>
      <c r="C475" s="180" t="s">
        <v>1909</v>
      </c>
      <c r="D475" s="183" t="s">
        <v>1507</v>
      </c>
      <c r="E475" s="182">
        <v>123</v>
      </c>
      <c r="F475" s="182">
        <v>733</v>
      </c>
      <c r="G475" s="176">
        <f t="shared" si="14"/>
        <v>11.427073920000002</v>
      </c>
      <c r="H475" s="176">
        <f t="shared" si="15"/>
        <v>20.756248850999999</v>
      </c>
      <c r="I475" s="177" t="s">
        <v>1492</v>
      </c>
      <c r="J475" s="178"/>
    </row>
    <row r="476" spans="1:10" ht="14.9" customHeight="1">
      <c r="A476" s="173">
        <v>4.3310000000000004</v>
      </c>
      <c r="B476" s="174" t="s">
        <v>467</v>
      </c>
      <c r="C476" s="174" t="s">
        <v>1910</v>
      </c>
      <c r="D476" s="175">
        <v>1</v>
      </c>
      <c r="E476" s="175">
        <v>95</v>
      </c>
      <c r="F476" s="175">
        <v>840</v>
      </c>
      <c r="G476" s="176">
        <f t="shared" si="14"/>
        <v>8.8257887999999998</v>
      </c>
      <c r="H476" s="176">
        <f t="shared" si="15"/>
        <v>23.786151480000001</v>
      </c>
      <c r="I476" s="177" t="s">
        <v>1492</v>
      </c>
      <c r="J476" s="178"/>
    </row>
    <row r="477" spans="1:10" ht="14.9" customHeight="1">
      <c r="A477" s="173">
        <v>4.3310000000000004</v>
      </c>
      <c r="B477" s="174" t="s">
        <v>470</v>
      </c>
      <c r="C477" s="174" t="s">
        <v>1910</v>
      </c>
      <c r="D477" s="175">
        <v>1</v>
      </c>
      <c r="E477" s="175">
        <v>54</v>
      </c>
      <c r="F477" s="175">
        <v>504</v>
      </c>
      <c r="G477" s="176">
        <f t="shared" si="14"/>
        <v>5.0167641600000001</v>
      </c>
      <c r="H477" s="176">
        <f t="shared" si="15"/>
        <v>14.271690888</v>
      </c>
      <c r="I477" s="177" t="s">
        <v>1492</v>
      </c>
      <c r="J477" s="178"/>
    </row>
    <row r="478" spans="1:10" ht="14.9" customHeight="1">
      <c r="A478" s="173">
        <v>4.3310000000000004</v>
      </c>
      <c r="B478" s="174" t="s">
        <v>463</v>
      </c>
      <c r="C478" s="174" t="s">
        <v>1911</v>
      </c>
      <c r="D478" s="175">
        <v>1</v>
      </c>
      <c r="E478" s="182">
        <v>153</v>
      </c>
      <c r="F478" s="182">
        <v>2482</v>
      </c>
      <c r="G478" s="176">
        <f t="shared" si="14"/>
        <v>14.214165120000001</v>
      </c>
      <c r="H478" s="176">
        <f t="shared" si="15"/>
        <v>70.282414254000003</v>
      </c>
      <c r="I478" s="177" t="s">
        <v>30</v>
      </c>
      <c r="J478" s="178" t="s">
        <v>1599</v>
      </c>
    </row>
    <row r="479" spans="1:10" ht="14.9" customHeight="1">
      <c r="A479" s="173">
        <v>4.3310000000000004</v>
      </c>
      <c r="B479" s="174" t="s">
        <v>469</v>
      </c>
      <c r="C479" s="174" t="s">
        <v>1912</v>
      </c>
      <c r="D479" s="175">
        <v>1</v>
      </c>
      <c r="E479" s="182">
        <v>80</v>
      </c>
      <c r="F479" s="182">
        <v>733</v>
      </c>
      <c r="G479" s="176">
        <f t="shared" si="14"/>
        <v>7.4322432000000003</v>
      </c>
      <c r="H479" s="176">
        <f t="shared" si="15"/>
        <v>20.756248850999999</v>
      </c>
      <c r="I479" s="177" t="s">
        <v>30</v>
      </c>
      <c r="J479" s="178" t="s">
        <v>1913</v>
      </c>
    </row>
    <row r="480" spans="1:10" ht="14.9" customHeight="1">
      <c r="A480" s="173">
        <v>4.3310000000000004</v>
      </c>
      <c r="B480" s="174" t="s">
        <v>466</v>
      </c>
      <c r="C480" s="174" t="s">
        <v>1914</v>
      </c>
      <c r="D480" s="175">
        <v>2</v>
      </c>
      <c r="E480" s="175">
        <v>117</v>
      </c>
      <c r="F480" s="175">
        <v>1073</v>
      </c>
      <c r="G480" s="176">
        <f t="shared" si="14"/>
        <v>10.869655680000001</v>
      </c>
      <c r="H480" s="176">
        <f t="shared" si="15"/>
        <v>30.383976830999998</v>
      </c>
      <c r="I480" s="177" t="s">
        <v>1492</v>
      </c>
      <c r="J480" s="178"/>
    </row>
    <row r="481" spans="1:10" ht="14.9" customHeight="1">
      <c r="A481" s="173">
        <v>4.3310000000000004</v>
      </c>
      <c r="B481" s="174" t="s">
        <v>462</v>
      </c>
      <c r="C481" s="174" t="s">
        <v>1915</v>
      </c>
      <c r="D481" s="175">
        <v>2</v>
      </c>
      <c r="E481" s="175">
        <v>72</v>
      </c>
      <c r="F481" s="175">
        <v>648</v>
      </c>
      <c r="G481" s="176">
        <f t="shared" si="14"/>
        <v>6.6890188800000008</v>
      </c>
      <c r="H481" s="176">
        <f t="shared" si="15"/>
        <v>18.349316855999998</v>
      </c>
      <c r="I481" s="177" t="s">
        <v>1492</v>
      </c>
      <c r="J481" s="178"/>
    </row>
    <row r="482" spans="1:10" ht="14.9" customHeight="1">
      <c r="A482" s="173">
        <v>4.3310000000000004</v>
      </c>
      <c r="B482" s="174" t="s">
        <v>437</v>
      </c>
      <c r="C482" s="174" t="s">
        <v>1916</v>
      </c>
      <c r="D482" s="175">
        <v>3</v>
      </c>
      <c r="E482" s="175">
        <v>421</v>
      </c>
      <c r="F482" s="175">
        <v>4702</v>
      </c>
      <c r="G482" s="176">
        <f t="shared" si="14"/>
        <v>39.112179840000003</v>
      </c>
      <c r="H482" s="176">
        <f t="shared" si="15"/>
        <v>133.145814594</v>
      </c>
      <c r="I482" s="177" t="s">
        <v>1492</v>
      </c>
      <c r="J482" s="178"/>
    </row>
    <row r="483" spans="1:10" ht="14.9" customHeight="1">
      <c r="A483" s="173">
        <v>4.3310000000000004</v>
      </c>
      <c r="B483" s="174" t="s">
        <v>439</v>
      </c>
      <c r="C483" s="174" t="s">
        <v>1917</v>
      </c>
      <c r="D483" s="175">
        <v>3</v>
      </c>
      <c r="E483" s="175">
        <v>329</v>
      </c>
      <c r="F483" s="175">
        <v>3409</v>
      </c>
      <c r="G483" s="176">
        <f t="shared" si="14"/>
        <v>30.565100160000004</v>
      </c>
      <c r="H483" s="176">
        <f t="shared" si="15"/>
        <v>96.532131422999996</v>
      </c>
      <c r="I483" s="177" t="s">
        <v>1492</v>
      </c>
      <c r="J483" s="178"/>
    </row>
    <row r="484" spans="1:10" ht="14.9" customHeight="1">
      <c r="A484" s="173">
        <v>4.3310000000000004</v>
      </c>
      <c r="B484" s="174" t="s">
        <v>479</v>
      </c>
      <c r="C484" s="174" t="s">
        <v>1918</v>
      </c>
      <c r="D484" s="175">
        <v>3</v>
      </c>
      <c r="E484" s="175">
        <v>900</v>
      </c>
      <c r="F484" s="175">
        <v>15773</v>
      </c>
      <c r="G484" s="176">
        <f t="shared" si="14"/>
        <v>83.612736000000012</v>
      </c>
      <c r="H484" s="176">
        <f t="shared" si="15"/>
        <v>446.64162773099997</v>
      </c>
      <c r="I484" s="177" t="s">
        <v>1492</v>
      </c>
      <c r="J484" s="178"/>
    </row>
    <row r="485" spans="1:10" ht="14.9" customHeight="1">
      <c r="A485" s="179">
        <v>4.3319999999999999</v>
      </c>
      <c r="B485" s="180" t="s">
        <v>429</v>
      </c>
      <c r="C485" s="180" t="s">
        <v>1919</v>
      </c>
      <c r="D485" s="181" t="s">
        <v>1494</v>
      </c>
      <c r="E485" s="182">
        <v>4</v>
      </c>
      <c r="F485" s="182">
        <v>127</v>
      </c>
      <c r="G485" s="176">
        <f t="shared" si="14"/>
        <v>0.37161216000000002</v>
      </c>
      <c r="H485" s="176">
        <f t="shared" si="15"/>
        <v>3.5962395689999997</v>
      </c>
      <c r="I485" s="177" t="s">
        <v>1492</v>
      </c>
      <c r="J485" s="178"/>
    </row>
    <row r="486" spans="1:10" ht="14.9" customHeight="1">
      <c r="A486" s="179">
        <v>4.3319999999999999</v>
      </c>
      <c r="B486" s="180" t="s">
        <v>427</v>
      </c>
      <c r="C486" s="180" t="s">
        <v>1919</v>
      </c>
      <c r="D486" s="181" t="s">
        <v>1494</v>
      </c>
      <c r="E486" s="182">
        <v>3</v>
      </c>
      <c r="F486" s="182">
        <v>62</v>
      </c>
      <c r="G486" s="176">
        <f t="shared" si="14"/>
        <v>0.27870912000000003</v>
      </c>
      <c r="H486" s="176">
        <f t="shared" si="15"/>
        <v>1.7556445139999999</v>
      </c>
      <c r="I486" s="177" t="s">
        <v>1492</v>
      </c>
      <c r="J486" s="178"/>
    </row>
    <row r="487" spans="1:10" ht="14.9" customHeight="1">
      <c r="A487" s="179">
        <v>4.3319999999999999</v>
      </c>
      <c r="B487" s="180" t="s">
        <v>423</v>
      </c>
      <c r="C487" s="180" t="s">
        <v>1920</v>
      </c>
      <c r="D487" s="181" t="s">
        <v>1498</v>
      </c>
      <c r="E487" s="182">
        <v>120</v>
      </c>
      <c r="F487" s="182">
        <v>1379</v>
      </c>
      <c r="G487" s="176">
        <f t="shared" si="14"/>
        <v>11.148364800000001</v>
      </c>
      <c r="H487" s="176">
        <f t="shared" si="15"/>
        <v>39.048932012999998</v>
      </c>
      <c r="I487" s="177" t="s">
        <v>1492</v>
      </c>
      <c r="J487" s="178"/>
    </row>
    <row r="488" spans="1:10" ht="14.9" customHeight="1">
      <c r="A488" s="179">
        <v>4.3319999999999999</v>
      </c>
      <c r="B488" s="180" t="s">
        <v>416</v>
      </c>
      <c r="C488" s="180" t="s">
        <v>1921</v>
      </c>
      <c r="D488" s="183" t="s">
        <v>1507</v>
      </c>
      <c r="E488" s="182">
        <v>123</v>
      </c>
      <c r="F488" s="182">
        <v>1126</v>
      </c>
      <c r="G488" s="176">
        <f t="shared" si="14"/>
        <v>11.427073920000002</v>
      </c>
      <c r="H488" s="176">
        <f t="shared" si="15"/>
        <v>31.884769721999998</v>
      </c>
      <c r="I488" s="177" t="s">
        <v>1503</v>
      </c>
      <c r="J488" s="178" t="s">
        <v>1583</v>
      </c>
    </row>
    <row r="489" spans="1:10" ht="14.9" customHeight="1">
      <c r="A489" s="179">
        <v>4.3319999999999999</v>
      </c>
      <c r="B489" s="180" t="s">
        <v>416</v>
      </c>
      <c r="C489" s="180" t="s">
        <v>1922</v>
      </c>
      <c r="D489" s="183" t="s">
        <v>1507</v>
      </c>
      <c r="E489" s="182">
        <v>132</v>
      </c>
      <c r="F489" s="182">
        <v>1129</v>
      </c>
      <c r="G489" s="176">
        <f t="shared" si="14"/>
        <v>12.263201280000001</v>
      </c>
      <c r="H489" s="176">
        <f t="shared" si="15"/>
        <v>31.969720262999999</v>
      </c>
      <c r="I489" s="177" t="s">
        <v>1503</v>
      </c>
      <c r="J489" s="178"/>
    </row>
    <row r="490" spans="1:10" ht="14.9" customHeight="1">
      <c r="A490" s="173">
        <v>4.3319999999999999</v>
      </c>
      <c r="B490" s="174" t="s">
        <v>426</v>
      </c>
      <c r="C490" s="174" t="s">
        <v>1919</v>
      </c>
      <c r="D490" s="175">
        <v>1</v>
      </c>
      <c r="E490" s="175">
        <v>24</v>
      </c>
      <c r="F490" s="175">
        <v>224</v>
      </c>
      <c r="G490" s="176">
        <f t="shared" si="14"/>
        <v>2.2296729600000003</v>
      </c>
      <c r="H490" s="176">
        <f t="shared" si="15"/>
        <v>6.3429737279999996</v>
      </c>
      <c r="I490" s="177" t="s">
        <v>1492</v>
      </c>
      <c r="J490" s="178"/>
    </row>
    <row r="491" spans="1:10" ht="14.9" customHeight="1">
      <c r="A491" s="173">
        <v>4.3319999999999999</v>
      </c>
      <c r="B491" s="174" t="s">
        <v>420</v>
      </c>
      <c r="C491" s="174" t="s">
        <v>1923</v>
      </c>
      <c r="D491" s="175">
        <v>1</v>
      </c>
      <c r="E491" s="175">
        <v>182</v>
      </c>
      <c r="F491" s="175">
        <v>1699</v>
      </c>
      <c r="G491" s="176">
        <f t="shared" si="14"/>
        <v>16.90835328</v>
      </c>
      <c r="H491" s="176">
        <f t="shared" si="15"/>
        <v>48.110323053000002</v>
      </c>
      <c r="I491" s="177" t="s">
        <v>1503</v>
      </c>
      <c r="J491" s="178" t="s">
        <v>1764</v>
      </c>
    </row>
    <row r="492" spans="1:10" ht="14.9" customHeight="1">
      <c r="A492" s="173">
        <v>4.3319999999999999</v>
      </c>
      <c r="B492" s="174" t="s">
        <v>418</v>
      </c>
      <c r="C492" s="174" t="s">
        <v>1924</v>
      </c>
      <c r="D492" s="175">
        <v>1</v>
      </c>
      <c r="E492" s="175">
        <v>118</v>
      </c>
      <c r="F492" s="175">
        <v>1098</v>
      </c>
      <c r="G492" s="176">
        <f t="shared" si="14"/>
        <v>10.962558720000001</v>
      </c>
      <c r="H492" s="176">
        <f t="shared" si="15"/>
        <v>31.091898005999997</v>
      </c>
      <c r="I492" s="177" t="s">
        <v>1492</v>
      </c>
      <c r="J492" s="178"/>
    </row>
    <row r="493" spans="1:10" ht="14.9" customHeight="1">
      <c r="A493" s="173">
        <v>4.3319999999999999</v>
      </c>
      <c r="B493" s="174" t="s">
        <v>1925</v>
      </c>
      <c r="C493" s="174" t="s">
        <v>1926</v>
      </c>
      <c r="D493" s="175">
        <v>5</v>
      </c>
      <c r="E493" s="175">
        <v>0</v>
      </c>
      <c r="F493" s="182">
        <v>1054</v>
      </c>
      <c r="G493" s="176">
        <f t="shared" si="14"/>
        <v>0</v>
      </c>
      <c r="H493" s="176">
        <f t="shared" si="15"/>
        <v>29.845956737999998</v>
      </c>
      <c r="I493" s="177" t="s">
        <v>1492</v>
      </c>
      <c r="J493" s="178"/>
    </row>
    <row r="494" spans="1:10" ht="14.9" customHeight="1">
      <c r="A494" s="173">
        <v>4.3339999999999996</v>
      </c>
      <c r="B494" s="174" t="s">
        <v>408</v>
      </c>
      <c r="C494" s="174" t="s">
        <v>1927</v>
      </c>
      <c r="D494" s="175">
        <v>2</v>
      </c>
      <c r="E494" s="175">
        <v>95</v>
      </c>
      <c r="F494" s="175">
        <v>867</v>
      </c>
      <c r="G494" s="176">
        <f t="shared" si="14"/>
        <v>8.8257887999999998</v>
      </c>
      <c r="H494" s="176">
        <f t="shared" si="15"/>
        <v>24.550706348999999</v>
      </c>
      <c r="I494" s="177" t="s">
        <v>1492</v>
      </c>
      <c r="J494" s="178"/>
    </row>
    <row r="495" spans="1:10" ht="14.9" customHeight="1">
      <c r="A495" s="173">
        <v>4.3419999999999996</v>
      </c>
      <c r="B495" s="174" t="s">
        <v>405</v>
      </c>
      <c r="C495" s="174" t="s">
        <v>1928</v>
      </c>
      <c r="D495" s="175">
        <v>2</v>
      </c>
      <c r="E495" s="175">
        <v>288</v>
      </c>
      <c r="F495" s="175">
        <v>2732</v>
      </c>
      <c r="G495" s="176">
        <f t="shared" si="14"/>
        <v>26.756075520000003</v>
      </c>
      <c r="H495" s="176">
        <f t="shared" si="15"/>
        <v>77.361626004000001</v>
      </c>
      <c r="I495" s="177" t="s">
        <v>1492</v>
      </c>
      <c r="J495" s="178"/>
    </row>
    <row r="496" spans="1:10" ht="14.9" customHeight="1">
      <c r="A496" s="179">
        <v>4.3620000000000001</v>
      </c>
      <c r="B496" s="180" t="s">
        <v>385</v>
      </c>
      <c r="C496" s="180" t="s">
        <v>1929</v>
      </c>
      <c r="D496" s="181" t="s">
        <v>1498</v>
      </c>
      <c r="E496" s="182">
        <v>141</v>
      </c>
      <c r="F496" s="182">
        <v>1623</v>
      </c>
      <c r="G496" s="176">
        <f t="shared" si="14"/>
        <v>13.099328640000001</v>
      </c>
      <c r="H496" s="176">
        <f t="shared" si="15"/>
        <v>45.958242681000002</v>
      </c>
      <c r="I496" s="177" t="s">
        <v>1492</v>
      </c>
      <c r="J496" s="178"/>
    </row>
    <row r="497" spans="1:10" ht="14.9" customHeight="1">
      <c r="A497" s="179">
        <v>4.3620000000000001</v>
      </c>
      <c r="B497" s="180" t="s">
        <v>390</v>
      </c>
      <c r="C497" s="180" t="s">
        <v>1930</v>
      </c>
      <c r="D497" s="181" t="s">
        <v>1498</v>
      </c>
      <c r="E497" s="182">
        <v>118</v>
      </c>
      <c r="F497" s="182">
        <v>1173</v>
      </c>
      <c r="G497" s="176">
        <f t="shared" si="14"/>
        <v>10.962558720000001</v>
      </c>
      <c r="H497" s="176">
        <f t="shared" si="15"/>
        <v>33.215661531000002</v>
      </c>
      <c r="I497" s="177" t="s">
        <v>1492</v>
      </c>
      <c r="J497" s="178"/>
    </row>
    <row r="498" spans="1:10" ht="14.9" customHeight="1">
      <c r="A498" s="179">
        <v>4.3620000000000001</v>
      </c>
      <c r="B498" s="180" t="s">
        <v>402</v>
      </c>
      <c r="C498" s="180" t="s">
        <v>1922</v>
      </c>
      <c r="D498" s="181" t="s">
        <v>1498</v>
      </c>
      <c r="E498" s="182">
        <v>33</v>
      </c>
      <c r="F498" s="182">
        <v>402</v>
      </c>
      <c r="G498" s="176">
        <f t="shared" si="14"/>
        <v>3.0658003200000001</v>
      </c>
      <c r="H498" s="176">
        <f t="shared" si="15"/>
        <v>11.383372494</v>
      </c>
      <c r="I498" s="177" t="s">
        <v>1492</v>
      </c>
      <c r="J498" s="178"/>
    </row>
    <row r="499" spans="1:10" ht="14.9" customHeight="1">
      <c r="A499" s="173">
        <v>4.3620000000000001</v>
      </c>
      <c r="B499" s="174" t="s">
        <v>380</v>
      </c>
      <c r="C499" s="174" t="s">
        <v>1931</v>
      </c>
      <c r="D499" s="183" t="s">
        <v>1507</v>
      </c>
      <c r="E499" s="182">
        <v>240</v>
      </c>
      <c r="F499" s="182">
        <v>1986</v>
      </c>
      <c r="G499" s="176">
        <f t="shared" si="14"/>
        <v>22.296729600000003</v>
      </c>
      <c r="H499" s="176">
        <f t="shared" si="15"/>
        <v>56.237258142000002</v>
      </c>
      <c r="I499" s="177" t="s">
        <v>1492</v>
      </c>
      <c r="J499" s="178"/>
    </row>
    <row r="500" spans="1:10" ht="14.9" customHeight="1">
      <c r="A500" s="173">
        <v>4.3620000000000001</v>
      </c>
      <c r="B500" s="174" t="s">
        <v>378</v>
      </c>
      <c r="C500" s="174" t="s">
        <v>1932</v>
      </c>
      <c r="D500" s="183" t="s">
        <v>1507</v>
      </c>
      <c r="E500" s="182">
        <v>472</v>
      </c>
      <c r="F500" s="182">
        <v>4012</v>
      </c>
      <c r="G500" s="176">
        <f t="shared" si="14"/>
        <v>43.850234880000002</v>
      </c>
      <c r="H500" s="176">
        <f t="shared" si="15"/>
        <v>113.607190164</v>
      </c>
      <c r="I500" s="177" t="s">
        <v>1492</v>
      </c>
      <c r="J500" s="178"/>
    </row>
    <row r="501" spans="1:10" ht="14.9" customHeight="1">
      <c r="A501" s="173">
        <v>4.3620000000000001</v>
      </c>
      <c r="B501" s="174" t="s">
        <v>388</v>
      </c>
      <c r="C501" s="174" t="s">
        <v>1933</v>
      </c>
      <c r="D501" s="183" t="s">
        <v>1507</v>
      </c>
      <c r="E501" s="182">
        <v>304</v>
      </c>
      <c r="F501" s="182">
        <v>2584</v>
      </c>
      <c r="G501" s="176">
        <f t="shared" si="14"/>
        <v>28.242524160000002</v>
      </c>
      <c r="H501" s="176">
        <f t="shared" si="15"/>
        <v>73.170732647999998</v>
      </c>
      <c r="I501" s="177" t="s">
        <v>1492</v>
      </c>
      <c r="J501" s="178"/>
    </row>
    <row r="502" spans="1:10" ht="14.9" customHeight="1">
      <c r="A502" s="173">
        <v>4.3620000000000001</v>
      </c>
      <c r="B502" s="174" t="s">
        <v>377</v>
      </c>
      <c r="C502" s="174" t="s">
        <v>1932</v>
      </c>
      <c r="D502" s="183" t="s">
        <v>1507</v>
      </c>
      <c r="E502" s="182">
        <v>53</v>
      </c>
      <c r="F502" s="182">
        <v>550</v>
      </c>
      <c r="G502" s="176">
        <f t="shared" si="14"/>
        <v>4.9238611200000006</v>
      </c>
      <c r="H502" s="176">
        <f t="shared" si="15"/>
        <v>15.57426585</v>
      </c>
      <c r="I502" s="177" t="s">
        <v>1492</v>
      </c>
      <c r="J502" s="178"/>
    </row>
    <row r="503" spans="1:10" ht="14.9" customHeight="1">
      <c r="A503" s="173">
        <v>4.3620000000000001</v>
      </c>
      <c r="B503" s="174" t="s">
        <v>376</v>
      </c>
      <c r="C503" s="174" t="s">
        <v>1932</v>
      </c>
      <c r="D503" s="183" t="s">
        <v>1507</v>
      </c>
      <c r="E503" s="182">
        <v>298</v>
      </c>
      <c r="F503" s="182">
        <v>2965</v>
      </c>
      <c r="G503" s="176">
        <f t="shared" si="14"/>
        <v>27.685105920000002</v>
      </c>
      <c r="H503" s="176">
        <f t="shared" si="15"/>
        <v>83.959451354999999</v>
      </c>
      <c r="I503" s="177" t="s">
        <v>1492</v>
      </c>
      <c r="J503" s="178"/>
    </row>
    <row r="504" spans="1:10" ht="14.9" customHeight="1">
      <c r="A504" s="173">
        <v>4.3620000000000001</v>
      </c>
      <c r="B504" s="174" t="s">
        <v>373</v>
      </c>
      <c r="C504" s="174" t="s">
        <v>1934</v>
      </c>
      <c r="D504" s="183" t="s">
        <v>1507</v>
      </c>
      <c r="E504" s="182">
        <v>565</v>
      </c>
      <c r="F504" s="182">
        <v>5642</v>
      </c>
      <c r="G504" s="176">
        <f t="shared" si="14"/>
        <v>52.490217600000001</v>
      </c>
      <c r="H504" s="176">
        <f t="shared" si="15"/>
        <v>159.76365077399998</v>
      </c>
      <c r="I504" s="177" t="s">
        <v>1492</v>
      </c>
      <c r="J504" s="178"/>
    </row>
    <row r="505" spans="1:10" ht="14.9" customHeight="1">
      <c r="A505" s="173">
        <v>4.3620000000000001</v>
      </c>
      <c r="B505" s="174" t="s">
        <v>1935</v>
      </c>
      <c r="C505" s="174" t="s">
        <v>1922</v>
      </c>
      <c r="D505" s="183" t="s">
        <v>1507</v>
      </c>
      <c r="E505" s="182">
        <v>252</v>
      </c>
      <c r="F505" s="182">
        <v>1102</v>
      </c>
      <c r="G505" s="176">
        <f t="shared" si="14"/>
        <v>23.41156608</v>
      </c>
      <c r="H505" s="176">
        <f t="shared" si="15"/>
        <v>31.205165393999998</v>
      </c>
      <c r="I505" s="177" t="s">
        <v>1556</v>
      </c>
      <c r="J505" s="178" t="s">
        <v>1557</v>
      </c>
    </row>
    <row r="506" spans="1:10" ht="14.9" customHeight="1">
      <c r="A506" s="179">
        <v>4.3620000000000001</v>
      </c>
      <c r="B506" s="180" t="s">
        <v>1936</v>
      </c>
      <c r="C506" s="180" t="s">
        <v>1922</v>
      </c>
      <c r="D506" s="183" t="s">
        <v>1507</v>
      </c>
      <c r="E506" s="182">
        <v>173</v>
      </c>
      <c r="F506" s="182">
        <v>1545</v>
      </c>
      <c r="G506" s="176">
        <f t="shared" si="14"/>
        <v>16.072225920000001</v>
      </c>
      <c r="H506" s="176">
        <f t="shared" si="15"/>
        <v>43.749528614999996</v>
      </c>
      <c r="I506" s="177" t="s">
        <v>1492</v>
      </c>
      <c r="J506" s="178"/>
    </row>
    <row r="507" spans="1:10" ht="14.9" customHeight="1">
      <c r="A507" s="179">
        <v>4.3620000000000001</v>
      </c>
      <c r="B507" s="180" t="s">
        <v>399</v>
      </c>
      <c r="C507" s="180" t="s">
        <v>1922</v>
      </c>
      <c r="D507" s="183" t="s">
        <v>1507</v>
      </c>
      <c r="E507" s="182">
        <v>132</v>
      </c>
      <c r="F507" s="182">
        <v>1129</v>
      </c>
      <c r="G507" s="176">
        <f t="shared" si="14"/>
        <v>12.263201280000001</v>
      </c>
      <c r="H507" s="176">
        <f t="shared" si="15"/>
        <v>31.969720262999999</v>
      </c>
      <c r="I507" s="177" t="s">
        <v>1503</v>
      </c>
      <c r="J507" s="178" t="s">
        <v>1583</v>
      </c>
    </row>
    <row r="508" spans="1:10" ht="14.9" customHeight="1">
      <c r="A508" s="191">
        <v>4.3620000000000001</v>
      </c>
      <c r="B508" s="180" t="s">
        <v>1366</v>
      </c>
      <c r="C508" s="180" t="s">
        <v>1937</v>
      </c>
      <c r="D508" s="183" t="s">
        <v>1507</v>
      </c>
      <c r="E508" s="182">
        <v>18</v>
      </c>
      <c r="F508" s="182">
        <v>204</v>
      </c>
      <c r="G508" s="176">
        <f t="shared" si="14"/>
        <v>1.6722547200000002</v>
      </c>
      <c r="H508" s="176">
        <f t="shared" si="15"/>
        <v>5.7766367880000002</v>
      </c>
      <c r="I508" s="177" t="s">
        <v>1492</v>
      </c>
      <c r="J508" s="178" t="s">
        <v>1599</v>
      </c>
    </row>
    <row r="509" spans="1:10" ht="14.9" customHeight="1">
      <c r="A509" s="173">
        <v>4.3620000000000001</v>
      </c>
      <c r="B509" s="174" t="s">
        <v>1938</v>
      </c>
      <c r="C509" s="174" t="s">
        <v>1922</v>
      </c>
      <c r="D509" s="175">
        <v>1</v>
      </c>
      <c r="E509" s="175">
        <v>47</v>
      </c>
      <c r="F509" s="175">
        <v>605</v>
      </c>
      <c r="G509" s="176">
        <f t="shared" si="14"/>
        <v>4.3664428800000001</v>
      </c>
      <c r="H509" s="176">
        <f t="shared" si="15"/>
        <v>17.131692434999998</v>
      </c>
      <c r="I509" s="177" t="s">
        <v>1492</v>
      </c>
      <c r="J509" s="178"/>
    </row>
    <row r="510" spans="1:10" ht="14.9" customHeight="1">
      <c r="A510" s="173">
        <v>4.3620000000000001</v>
      </c>
      <c r="B510" s="174" t="s">
        <v>1939</v>
      </c>
      <c r="C510" s="174" t="s">
        <v>1922</v>
      </c>
      <c r="D510" s="175">
        <v>1</v>
      </c>
      <c r="E510" s="175">
        <v>54</v>
      </c>
      <c r="F510" s="175">
        <v>693</v>
      </c>
      <c r="G510" s="176">
        <f t="shared" si="14"/>
        <v>5.0167641600000001</v>
      </c>
      <c r="H510" s="176">
        <f t="shared" si="15"/>
        <v>19.623574971</v>
      </c>
      <c r="I510" s="177" t="s">
        <v>1492</v>
      </c>
      <c r="J510" s="178"/>
    </row>
    <row r="511" spans="1:10" ht="14.9" customHeight="1">
      <c r="A511" s="173">
        <v>4.3620000000000001</v>
      </c>
      <c r="B511" s="174" t="s">
        <v>876</v>
      </c>
      <c r="C511" s="174" t="s">
        <v>1940</v>
      </c>
      <c r="D511" s="175">
        <v>1</v>
      </c>
      <c r="E511" s="175">
        <v>59</v>
      </c>
      <c r="F511" s="175">
        <v>603</v>
      </c>
      <c r="G511" s="176">
        <f t="shared" si="14"/>
        <v>5.4812793600000003</v>
      </c>
      <c r="H511" s="176">
        <f t="shared" si="15"/>
        <v>17.075058740999999</v>
      </c>
      <c r="I511" s="184" t="s">
        <v>1492</v>
      </c>
      <c r="J511" s="185"/>
    </row>
    <row r="512" spans="1:10" ht="14.9" customHeight="1">
      <c r="A512" s="173">
        <v>4.3620000000000001</v>
      </c>
      <c r="B512" s="174" t="s">
        <v>1941</v>
      </c>
      <c r="C512" s="174" t="s">
        <v>1922</v>
      </c>
      <c r="D512" s="175">
        <v>2</v>
      </c>
      <c r="E512" s="175">
        <v>90</v>
      </c>
      <c r="F512" s="175">
        <v>986</v>
      </c>
      <c r="G512" s="176">
        <f t="shared" si="14"/>
        <v>8.3612736000000005</v>
      </c>
      <c r="H512" s="176">
        <f t="shared" si="15"/>
        <v>27.920411141999999</v>
      </c>
      <c r="I512" s="177" t="s">
        <v>1492</v>
      </c>
      <c r="J512" s="178"/>
    </row>
    <row r="513" spans="1:11" ht="14.9" customHeight="1">
      <c r="A513" s="173">
        <v>4.3620000000000001</v>
      </c>
      <c r="B513" s="174" t="s">
        <v>395</v>
      </c>
      <c r="C513" s="174" t="s">
        <v>1922</v>
      </c>
      <c r="D513" s="175">
        <v>2</v>
      </c>
      <c r="E513" s="175">
        <v>96</v>
      </c>
      <c r="F513" s="175">
        <v>990</v>
      </c>
      <c r="G513" s="176">
        <f t="shared" si="14"/>
        <v>8.918691840000001</v>
      </c>
      <c r="H513" s="176">
        <f t="shared" si="15"/>
        <v>28.03367853</v>
      </c>
      <c r="I513" s="177" t="s">
        <v>1492</v>
      </c>
      <c r="J513" s="178"/>
    </row>
    <row r="514" spans="1:11" ht="14.9" customHeight="1">
      <c r="A514" s="173">
        <v>4.3620000000000001</v>
      </c>
      <c r="B514" s="174" t="s">
        <v>394</v>
      </c>
      <c r="C514" s="174" t="s">
        <v>1922</v>
      </c>
      <c r="D514" s="175">
        <v>3</v>
      </c>
      <c r="E514" s="175">
        <v>103</v>
      </c>
      <c r="F514" s="175">
        <v>879</v>
      </c>
      <c r="G514" s="176">
        <f t="shared" si="14"/>
        <v>9.569013120000001</v>
      </c>
      <c r="H514" s="176">
        <f t="shared" si="15"/>
        <v>24.890508513</v>
      </c>
      <c r="I514" s="177" t="s">
        <v>1492</v>
      </c>
      <c r="J514" s="178"/>
    </row>
    <row r="515" spans="1:11" ht="14.9" customHeight="1" thickBot="1">
      <c r="A515" s="192">
        <v>4.3620000000000001</v>
      </c>
      <c r="B515" s="193" t="s">
        <v>392</v>
      </c>
      <c r="C515" s="193" t="s">
        <v>1922</v>
      </c>
      <c r="D515" s="194">
        <v>3</v>
      </c>
      <c r="E515" s="194">
        <v>180</v>
      </c>
      <c r="F515" s="194">
        <v>1545</v>
      </c>
      <c r="G515" s="195">
        <f t="shared" si="14"/>
        <v>16.722547200000001</v>
      </c>
      <c r="H515" s="195">
        <f t="shared" si="15"/>
        <v>43.749528614999996</v>
      </c>
      <c r="I515" s="196" t="s">
        <v>1492</v>
      </c>
      <c r="J515" s="197"/>
    </row>
    <row r="516" spans="1:11" ht="14.25" customHeight="1" thickBot="1">
      <c r="A516" s="198"/>
      <c r="B516" s="424" t="s">
        <v>1942</v>
      </c>
      <c r="C516" s="425"/>
      <c r="D516" s="425"/>
      <c r="E516" s="199">
        <f>SUM(E3:E515)</f>
        <v>76884</v>
      </c>
      <c r="F516" s="200">
        <f>SUM(F3:F515)</f>
        <v>1160502</v>
      </c>
      <c r="G516" s="199">
        <f>SUM(G3:G515)</f>
        <v>7142.7573273600065</v>
      </c>
      <c r="H516" s="199">
        <f>SUM(H3:H515)</f>
        <v>32861.757577194025</v>
      </c>
      <c r="I516" s="201"/>
      <c r="J516" s="201"/>
    </row>
    <row r="517" spans="1:11" ht="14.25" hidden="1" customHeight="1">
      <c r="A517" s="202"/>
      <c r="B517" s="203" t="s">
        <v>1943</v>
      </c>
      <c r="C517" s="203"/>
      <c r="D517" s="203"/>
      <c r="E517" s="203">
        <v>5445</v>
      </c>
      <c r="F517" s="203">
        <v>48869</v>
      </c>
      <c r="G517" s="203"/>
      <c r="H517" s="203"/>
      <c r="I517" s="204"/>
      <c r="J517" s="203"/>
    </row>
    <row r="518" spans="1:11" ht="14.9" hidden="1" customHeight="1">
      <c r="A518" s="202"/>
      <c r="B518" s="203" t="s">
        <v>1943</v>
      </c>
      <c r="C518" s="203"/>
      <c r="D518" s="203"/>
      <c r="E518" s="203">
        <v>823</v>
      </c>
      <c r="F518" s="203">
        <v>7969</v>
      </c>
      <c r="G518" s="203"/>
      <c r="H518" s="203"/>
      <c r="I518" s="204"/>
      <c r="J518" s="203"/>
    </row>
    <row r="519" spans="1:11" ht="15" customHeight="1">
      <c r="A519" s="205"/>
      <c r="B519" s="187"/>
      <c r="C519" s="187"/>
      <c r="D519" s="187"/>
      <c r="E519" s="187"/>
      <c r="F519" s="187"/>
      <c r="G519" s="187"/>
      <c r="H519" s="206"/>
      <c r="I519" s="207"/>
      <c r="J519" s="187"/>
    </row>
    <row r="520" spans="1:11" s="187" customFormat="1">
      <c r="A520" s="208" t="s">
        <v>1944</v>
      </c>
      <c r="B520" s="188"/>
      <c r="C520" s="188"/>
      <c r="D520" s="188"/>
      <c r="E520" s="188"/>
      <c r="F520" s="188"/>
      <c r="G520" s="188"/>
      <c r="H520" s="188"/>
      <c r="I520" s="188"/>
      <c r="J520" s="188"/>
    </row>
    <row r="521" spans="1:11" s="187" customFormat="1" ht="12.75" customHeight="1">
      <c r="K521" s="172"/>
    </row>
    <row r="524" spans="1:11">
      <c r="K524" s="209"/>
    </row>
    <row r="525" spans="1:11" s="187" customFormat="1" ht="12.75" customHeight="1">
      <c r="K525" s="188"/>
    </row>
    <row r="526" spans="1:11" s="187" customFormat="1">
      <c r="K526" s="188"/>
    </row>
    <row r="527" spans="1:11" s="187" customFormat="1">
      <c r="K527" s="172"/>
    </row>
    <row r="528" spans="1:11" s="187" customFormat="1" ht="12.75" customHeight="1">
      <c r="K528" s="188"/>
    </row>
    <row r="529" spans="11:11">
      <c r="K529" s="188"/>
    </row>
    <row r="530" spans="11:11" ht="12.75" customHeight="1">
      <c r="K530" s="209"/>
    </row>
    <row r="531" spans="11:11">
      <c r="K531" s="209"/>
    </row>
  </sheetData>
  <autoFilter ref="A2:J520"/>
  <mergeCells count="2">
    <mergeCell ref="A1:J1"/>
    <mergeCell ref="B516:D516"/>
  </mergeCells>
  <pageMargins left="0.75" right="0.75" top="0" bottom="0" header="0.5" footer="0.5"/>
  <pageSetup scale="46" fitToHeight="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P377"/>
  <sheetViews>
    <sheetView showZeros="0" view="pageBreakPreview" zoomScaleNormal="100" zoomScaleSheetLayoutView="100" workbookViewId="0">
      <selection activeCell="C1" sqref="C1"/>
    </sheetView>
  </sheetViews>
  <sheetFormatPr defaultColWidth="9.1796875" defaultRowHeight="10.5"/>
  <cols>
    <col min="1" max="1" width="9.1796875" style="210"/>
    <col min="2" max="2" width="13.26953125" style="211" customWidth="1"/>
    <col min="3" max="3" width="30.7265625" style="212" bestFit="1" customWidth="1"/>
    <col min="4" max="4" width="9.7265625" style="211" customWidth="1"/>
    <col min="5" max="6" width="9.7265625" style="213" customWidth="1"/>
    <col min="7" max="7" width="10.7265625" style="211" customWidth="1"/>
    <col min="8" max="10" width="9.7265625" style="211" customWidth="1"/>
    <col min="11" max="11" width="46" style="212" bestFit="1" customWidth="1"/>
    <col min="12" max="257" width="9.1796875" style="211"/>
    <col min="258" max="258" width="13.26953125" style="211" customWidth="1"/>
    <col min="259" max="259" width="30.7265625" style="211" bestFit="1" customWidth="1"/>
    <col min="260" max="262" width="9.7265625" style="211" customWidth="1"/>
    <col min="263" max="263" width="10.7265625" style="211" customWidth="1"/>
    <col min="264" max="266" width="9.7265625" style="211" customWidth="1"/>
    <col min="267" max="267" width="46" style="211" bestFit="1" customWidth="1"/>
    <col min="268" max="513" width="9.1796875" style="211"/>
    <col min="514" max="514" width="13.26953125" style="211" customWidth="1"/>
    <col min="515" max="515" width="30.7265625" style="211" bestFit="1" customWidth="1"/>
    <col min="516" max="518" width="9.7265625" style="211" customWidth="1"/>
    <col min="519" max="519" width="10.7265625" style="211" customWidth="1"/>
    <col min="520" max="522" width="9.7265625" style="211" customWidth="1"/>
    <col min="523" max="523" width="46" style="211" bestFit="1" customWidth="1"/>
    <col min="524" max="769" width="9.1796875" style="211"/>
    <col min="770" max="770" width="13.26953125" style="211" customWidth="1"/>
    <col min="771" max="771" width="30.7265625" style="211" bestFit="1" customWidth="1"/>
    <col min="772" max="774" width="9.7265625" style="211" customWidth="1"/>
    <col min="775" max="775" width="10.7265625" style="211" customWidth="1"/>
    <col min="776" max="778" width="9.7265625" style="211" customWidth="1"/>
    <col min="779" max="779" width="46" style="211" bestFit="1" customWidth="1"/>
    <col min="780" max="1025" width="9.1796875" style="211"/>
    <col min="1026" max="1026" width="13.26953125" style="211" customWidth="1"/>
    <col min="1027" max="1027" width="30.7265625" style="211" bestFit="1" customWidth="1"/>
    <col min="1028" max="1030" width="9.7265625" style="211" customWidth="1"/>
    <col min="1031" max="1031" width="10.7265625" style="211" customWidth="1"/>
    <col min="1032" max="1034" width="9.7265625" style="211" customWidth="1"/>
    <col min="1035" max="1035" width="46" style="211" bestFit="1" customWidth="1"/>
    <col min="1036" max="1281" width="9.1796875" style="211"/>
    <col min="1282" max="1282" width="13.26953125" style="211" customWidth="1"/>
    <col min="1283" max="1283" width="30.7265625" style="211" bestFit="1" customWidth="1"/>
    <col min="1284" max="1286" width="9.7265625" style="211" customWidth="1"/>
    <col min="1287" max="1287" width="10.7265625" style="211" customWidth="1"/>
    <col min="1288" max="1290" width="9.7265625" style="211" customWidth="1"/>
    <col min="1291" max="1291" width="46" style="211" bestFit="1" customWidth="1"/>
    <col min="1292" max="1537" width="9.1796875" style="211"/>
    <col min="1538" max="1538" width="13.26953125" style="211" customWidth="1"/>
    <col min="1539" max="1539" width="30.7265625" style="211" bestFit="1" customWidth="1"/>
    <col min="1540" max="1542" width="9.7265625" style="211" customWidth="1"/>
    <col min="1543" max="1543" width="10.7265625" style="211" customWidth="1"/>
    <col min="1544" max="1546" width="9.7265625" style="211" customWidth="1"/>
    <col min="1547" max="1547" width="46" style="211" bestFit="1" customWidth="1"/>
    <col min="1548" max="1793" width="9.1796875" style="211"/>
    <col min="1794" max="1794" width="13.26953125" style="211" customWidth="1"/>
    <col min="1795" max="1795" width="30.7265625" style="211" bestFit="1" customWidth="1"/>
    <col min="1796" max="1798" width="9.7265625" style="211" customWidth="1"/>
    <col min="1799" max="1799" width="10.7265625" style="211" customWidth="1"/>
    <col min="1800" max="1802" width="9.7265625" style="211" customWidth="1"/>
    <col min="1803" max="1803" width="46" style="211" bestFit="1" customWidth="1"/>
    <col min="1804" max="2049" width="9.1796875" style="211"/>
    <col min="2050" max="2050" width="13.26953125" style="211" customWidth="1"/>
    <col min="2051" max="2051" width="30.7265625" style="211" bestFit="1" customWidth="1"/>
    <col min="2052" max="2054" width="9.7265625" style="211" customWidth="1"/>
    <col min="2055" max="2055" width="10.7265625" style="211" customWidth="1"/>
    <col min="2056" max="2058" width="9.7265625" style="211" customWidth="1"/>
    <col min="2059" max="2059" width="46" style="211" bestFit="1" customWidth="1"/>
    <col min="2060" max="2305" width="9.1796875" style="211"/>
    <col min="2306" max="2306" width="13.26953125" style="211" customWidth="1"/>
    <col min="2307" max="2307" width="30.7265625" style="211" bestFit="1" customWidth="1"/>
    <col min="2308" max="2310" width="9.7265625" style="211" customWidth="1"/>
    <col min="2311" max="2311" width="10.7265625" style="211" customWidth="1"/>
    <col min="2312" max="2314" width="9.7265625" style="211" customWidth="1"/>
    <col min="2315" max="2315" width="46" style="211" bestFit="1" customWidth="1"/>
    <col min="2316" max="2561" width="9.1796875" style="211"/>
    <col min="2562" max="2562" width="13.26953125" style="211" customWidth="1"/>
    <col min="2563" max="2563" width="30.7265625" style="211" bestFit="1" customWidth="1"/>
    <col min="2564" max="2566" width="9.7265625" style="211" customWidth="1"/>
    <col min="2567" max="2567" width="10.7265625" style="211" customWidth="1"/>
    <col min="2568" max="2570" width="9.7265625" style="211" customWidth="1"/>
    <col min="2571" max="2571" width="46" style="211" bestFit="1" customWidth="1"/>
    <col min="2572" max="2817" width="9.1796875" style="211"/>
    <col min="2818" max="2818" width="13.26953125" style="211" customWidth="1"/>
    <col min="2819" max="2819" width="30.7265625" style="211" bestFit="1" customWidth="1"/>
    <col min="2820" max="2822" width="9.7265625" style="211" customWidth="1"/>
    <col min="2823" max="2823" width="10.7265625" style="211" customWidth="1"/>
    <col min="2824" max="2826" width="9.7265625" style="211" customWidth="1"/>
    <col min="2827" max="2827" width="46" style="211" bestFit="1" customWidth="1"/>
    <col min="2828" max="3073" width="9.1796875" style="211"/>
    <col min="3074" max="3074" width="13.26953125" style="211" customWidth="1"/>
    <col min="3075" max="3075" width="30.7265625" style="211" bestFit="1" customWidth="1"/>
    <col min="3076" max="3078" width="9.7265625" style="211" customWidth="1"/>
    <col min="3079" max="3079" width="10.7265625" style="211" customWidth="1"/>
    <col min="3080" max="3082" width="9.7265625" style="211" customWidth="1"/>
    <col min="3083" max="3083" width="46" style="211" bestFit="1" customWidth="1"/>
    <col min="3084" max="3329" width="9.1796875" style="211"/>
    <col min="3330" max="3330" width="13.26953125" style="211" customWidth="1"/>
    <col min="3331" max="3331" width="30.7265625" style="211" bestFit="1" customWidth="1"/>
    <col min="3332" max="3334" width="9.7265625" style="211" customWidth="1"/>
    <col min="3335" max="3335" width="10.7265625" style="211" customWidth="1"/>
    <col min="3336" max="3338" width="9.7265625" style="211" customWidth="1"/>
    <col min="3339" max="3339" width="46" style="211" bestFit="1" customWidth="1"/>
    <col min="3340" max="3585" width="9.1796875" style="211"/>
    <col min="3586" max="3586" width="13.26953125" style="211" customWidth="1"/>
    <col min="3587" max="3587" width="30.7265625" style="211" bestFit="1" customWidth="1"/>
    <col min="3588" max="3590" width="9.7265625" style="211" customWidth="1"/>
    <col min="3591" max="3591" width="10.7265625" style="211" customWidth="1"/>
    <col min="3592" max="3594" width="9.7265625" style="211" customWidth="1"/>
    <col min="3595" max="3595" width="46" style="211" bestFit="1" customWidth="1"/>
    <col min="3596" max="3841" width="9.1796875" style="211"/>
    <col min="3842" max="3842" width="13.26953125" style="211" customWidth="1"/>
    <col min="3843" max="3843" width="30.7265625" style="211" bestFit="1" customWidth="1"/>
    <col min="3844" max="3846" width="9.7265625" style="211" customWidth="1"/>
    <col min="3847" max="3847" width="10.7265625" style="211" customWidth="1"/>
    <col min="3848" max="3850" width="9.7265625" style="211" customWidth="1"/>
    <col min="3851" max="3851" width="46" style="211" bestFit="1" customWidth="1"/>
    <col min="3852" max="4097" width="9.1796875" style="211"/>
    <col min="4098" max="4098" width="13.26953125" style="211" customWidth="1"/>
    <col min="4099" max="4099" width="30.7265625" style="211" bestFit="1" customWidth="1"/>
    <col min="4100" max="4102" width="9.7265625" style="211" customWidth="1"/>
    <col min="4103" max="4103" width="10.7265625" style="211" customWidth="1"/>
    <col min="4104" max="4106" width="9.7265625" style="211" customWidth="1"/>
    <col min="4107" max="4107" width="46" style="211" bestFit="1" customWidth="1"/>
    <col min="4108" max="4353" width="9.1796875" style="211"/>
    <col min="4354" max="4354" width="13.26953125" style="211" customWidth="1"/>
    <col min="4355" max="4355" width="30.7265625" style="211" bestFit="1" customWidth="1"/>
    <col min="4356" max="4358" width="9.7265625" style="211" customWidth="1"/>
    <col min="4359" max="4359" width="10.7265625" style="211" customWidth="1"/>
    <col min="4360" max="4362" width="9.7265625" style="211" customWidth="1"/>
    <col min="4363" max="4363" width="46" style="211" bestFit="1" customWidth="1"/>
    <col min="4364" max="4609" width="9.1796875" style="211"/>
    <col min="4610" max="4610" width="13.26953125" style="211" customWidth="1"/>
    <col min="4611" max="4611" width="30.7265625" style="211" bestFit="1" customWidth="1"/>
    <col min="4612" max="4614" width="9.7265625" style="211" customWidth="1"/>
    <col min="4615" max="4615" width="10.7265625" style="211" customWidth="1"/>
    <col min="4616" max="4618" width="9.7265625" style="211" customWidth="1"/>
    <col min="4619" max="4619" width="46" style="211" bestFit="1" customWidth="1"/>
    <col min="4620" max="4865" width="9.1796875" style="211"/>
    <col min="4866" max="4866" width="13.26953125" style="211" customWidth="1"/>
    <col min="4867" max="4867" width="30.7265625" style="211" bestFit="1" customWidth="1"/>
    <col min="4868" max="4870" width="9.7265625" style="211" customWidth="1"/>
    <col min="4871" max="4871" width="10.7265625" style="211" customWidth="1"/>
    <col min="4872" max="4874" width="9.7265625" style="211" customWidth="1"/>
    <col min="4875" max="4875" width="46" style="211" bestFit="1" customWidth="1"/>
    <col min="4876" max="5121" width="9.1796875" style="211"/>
    <col min="5122" max="5122" width="13.26953125" style="211" customWidth="1"/>
    <col min="5123" max="5123" width="30.7265625" style="211" bestFit="1" customWidth="1"/>
    <col min="5124" max="5126" width="9.7265625" style="211" customWidth="1"/>
    <col min="5127" max="5127" width="10.7265625" style="211" customWidth="1"/>
    <col min="5128" max="5130" width="9.7265625" style="211" customWidth="1"/>
    <col min="5131" max="5131" width="46" style="211" bestFit="1" customWidth="1"/>
    <col min="5132" max="5377" width="9.1796875" style="211"/>
    <col min="5378" max="5378" width="13.26953125" style="211" customWidth="1"/>
    <col min="5379" max="5379" width="30.7265625" style="211" bestFit="1" customWidth="1"/>
    <col min="5380" max="5382" width="9.7265625" style="211" customWidth="1"/>
    <col min="5383" max="5383" width="10.7265625" style="211" customWidth="1"/>
    <col min="5384" max="5386" width="9.7265625" style="211" customWidth="1"/>
    <col min="5387" max="5387" width="46" style="211" bestFit="1" customWidth="1"/>
    <col min="5388" max="5633" width="9.1796875" style="211"/>
    <col min="5634" max="5634" width="13.26953125" style="211" customWidth="1"/>
    <col min="5635" max="5635" width="30.7265625" style="211" bestFit="1" customWidth="1"/>
    <col min="5636" max="5638" width="9.7265625" style="211" customWidth="1"/>
    <col min="5639" max="5639" width="10.7265625" style="211" customWidth="1"/>
    <col min="5640" max="5642" width="9.7265625" style="211" customWidth="1"/>
    <col min="5643" max="5643" width="46" style="211" bestFit="1" customWidth="1"/>
    <col min="5644" max="5889" width="9.1796875" style="211"/>
    <col min="5890" max="5890" width="13.26953125" style="211" customWidth="1"/>
    <col min="5891" max="5891" width="30.7265625" style="211" bestFit="1" customWidth="1"/>
    <col min="5892" max="5894" width="9.7265625" style="211" customWidth="1"/>
    <col min="5895" max="5895" width="10.7265625" style="211" customWidth="1"/>
    <col min="5896" max="5898" width="9.7265625" style="211" customWidth="1"/>
    <col min="5899" max="5899" width="46" style="211" bestFit="1" customWidth="1"/>
    <col min="5900" max="6145" width="9.1796875" style="211"/>
    <col min="6146" max="6146" width="13.26953125" style="211" customWidth="1"/>
    <col min="6147" max="6147" width="30.7265625" style="211" bestFit="1" customWidth="1"/>
    <col min="6148" max="6150" width="9.7265625" style="211" customWidth="1"/>
    <col min="6151" max="6151" width="10.7265625" style="211" customWidth="1"/>
    <col min="6152" max="6154" width="9.7265625" style="211" customWidth="1"/>
    <col min="6155" max="6155" width="46" style="211" bestFit="1" customWidth="1"/>
    <col min="6156" max="6401" width="9.1796875" style="211"/>
    <col min="6402" max="6402" width="13.26953125" style="211" customWidth="1"/>
    <col min="6403" max="6403" width="30.7265625" style="211" bestFit="1" customWidth="1"/>
    <col min="6404" max="6406" width="9.7265625" style="211" customWidth="1"/>
    <col min="6407" max="6407" width="10.7265625" style="211" customWidth="1"/>
    <col min="6408" max="6410" width="9.7265625" style="211" customWidth="1"/>
    <col min="6411" max="6411" width="46" style="211" bestFit="1" customWidth="1"/>
    <col min="6412" max="6657" width="9.1796875" style="211"/>
    <col min="6658" max="6658" width="13.26953125" style="211" customWidth="1"/>
    <col min="6659" max="6659" width="30.7265625" style="211" bestFit="1" customWidth="1"/>
    <col min="6660" max="6662" width="9.7265625" style="211" customWidth="1"/>
    <col min="6663" max="6663" width="10.7265625" style="211" customWidth="1"/>
    <col min="6664" max="6666" width="9.7265625" style="211" customWidth="1"/>
    <col min="6667" max="6667" width="46" style="211" bestFit="1" customWidth="1"/>
    <col min="6668" max="6913" width="9.1796875" style="211"/>
    <col min="6914" max="6914" width="13.26953125" style="211" customWidth="1"/>
    <col min="6915" max="6915" width="30.7265625" style="211" bestFit="1" customWidth="1"/>
    <col min="6916" max="6918" width="9.7265625" style="211" customWidth="1"/>
    <col min="6919" max="6919" width="10.7265625" style="211" customWidth="1"/>
    <col min="6920" max="6922" width="9.7265625" style="211" customWidth="1"/>
    <col min="6923" max="6923" width="46" style="211" bestFit="1" customWidth="1"/>
    <col min="6924" max="7169" width="9.1796875" style="211"/>
    <col min="7170" max="7170" width="13.26953125" style="211" customWidth="1"/>
    <col min="7171" max="7171" width="30.7265625" style="211" bestFit="1" customWidth="1"/>
    <col min="7172" max="7174" width="9.7265625" style="211" customWidth="1"/>
    <col min="7175" max="7175" width="10.7265625" style="211" customWidth="1"/>
    <col min="7176" max="7178" width="9.7265625" style="211" customWidth="1"/>
    <col min="7179" max="7179" width="46" style="211" bestFit="1" customWidth="1"/>
    <col min="7180" max="7425" width="9.1796875" style="211"/>
    <col min="7426" max="7426" width="13.26953125" style="211" customWidth="1"/>
    <col min="7427" max="7427" width="30.7265625" style="211" bestFit="1" customWidth="1"/>
    <col min="7428" max="7430" width="9.7265625" style="211" customWidth="1"/>
    <col min="7431" max="7431" width="10.7265625" style="211" customWidth="1"/>
    <col min="7432" max="7434" width="9.7265625" style="211" customWidth="1"/>
    <col min="7435" max="7435" width="46" style="211" bestFit="1" customWidth="1"/>
    <col min="7436" max="7681" width="9.1796875" style="211"/>
    <col min="7682" max="7682" width="13.26953125" style="211" customWidth="1"/>
    <col min="7683" max="7683" width="30.7265625" style="211" bestFit="1" customWidth="1"/>
    <col min="7684" max="7686" width="9.7265625" style="211" customWidth="1"/>
    <col min="7687" max="7687" width="10.7265625" style="211" customWidth="1"/>
    <col min="7688" max="7690" width="9.7265625" style="211" customWidth="1"/>
    <col min="7691" max="7691" width="46" style="211" bestFit="1" customWidth="1"/>
    <col min="7692" max="7937" width="9.1796875" style="211"/>
    <col min="7938" max="7938" width="13.26953125" style="211" customWidth="1"/>
    <col min="7939" max="7939" width="30.7265625" style="211" bestFit="1" customWidth="1"/>
    <col min="7940" max="7942" width="9.7265625" style="211" customWidth="1"/>
    <col min="7943" max="7943" width="10.7265625" style="211" customWidth="1"/>
    <col min="7944" max="7946" width="9.7265625" style="211" customWidth="1"/>
    <col min="7947" max="7947" width="46" style="211" bestFit="1" customWidth="1"/>
    <col min="7948" max="8193" width="9.1796875" style="211"/>
    <col min="8194" max="8194" width="13.26953125" style="211" customWidth="1"/>
    <col min="8195" max="8195" width="30.7265625" style="211" bestFit="1" customWidth="1"/>
    <col min="8196" max="8198" width="9.7265625" style="211" customWidth="1"/>
    <col min="8199" max="8199" width="10.7265625" style="211" customWidth="1"/>
    <col min="8200" max="8202" width="9.7265625" style="211" customWidth="1"/>
    <col min="8203" max="8203" width="46" style="211" bestFit="1" customWidth="1"/>
    <col min="8204" max="8449" width="9.1796875" style="211"/>
    <col min="8450" max="8450" width="13.26953125" style="211" customWidth="1"/>
    <col min="8451" max="8451" width="30.7265625" style="211" bestFit="1" customWidth="1"/>
    <col min="8452" max="8454" width="9.7265625" style="211" customWidth="1"/>
    <col min="8455" max="8455" width="10.7265625" style="211" customWidth="1"/>
    <col min="8456" max="8458" width="9.7265625" style="211" customWidth="1"/>
    <col min="8459" max="8459" width="46" style="211" bestFit="1" customWidth="1"/>
    <col min="8460" max="8705" width="9.1796875" style="211"/>
    <col min="8706" max="8706" width="13.26953125" style="211" customWidth="1"/>
    <col min="8707" max="8707" width="30.7265625" style="211" bestFit="1" customWidth="1"/>
    <col min="8708" max="8710" width="9.7265625" style="211" customWidth="1"/>
    <col min="8711" max="8711" width="10.7265625" style="211" customWidth="1"/>
    <col min="8712" max="8714" width="9.7265625" style="211" customWidth="1"/>
    <col min="8715" max="8715" width="46" style="211" bestFit="1" customWidth="1"/>
    <col min="8716" max="8961" width="9.1796875" style="211"/>
    <col min="8962" max="8962" width="13.26953125" style="211" customWidth="1"/>
    <col min="8963" max="8963" width="30.7265625" style="211" bestFit="1" customWidth="1"/>
    <col min="8964" max="8966" width="9.7265625" style="211" customWidth="1"/>
    <col min="8967" max="8967" width="10.7265625" style="211" customWidth="1"/>
    <col min="8968" max="8970" width="9.7265625" style="211" customWidth="1"/>
    <col min="8971" max="8971" width="46" style="211" bestFit="1" customWidth="1"/>
    <col min="8972" max="9217" width="9.1796875" style="211"/>
    <col min="9218" max="9218" width="13.26953125" style="211" customWidth="1"/>
    <col min="9219" max="9219" width="30.7265625" style="211" bestFit="1" customWidth="1"/>
    <col min="9220" max="9222" width="9.7265625" style="211" customWidth="1"/>
    <col min="9223" max="9223" width="10.7265625" style="211" customWidth="1"/>
    <col min="9224" max="9226" width="9.7265625" style="211" customWidth="1"/>
    <col min="9227" max="9227" width="46" style="211" bestFit="1" customWidth="1"/>
    <col min="9228" max="9473" width="9.1796875" style="211"/>
    <col min="9474" max="9474" width="13.26953125" style="211" customWidth="1"/>
    <col min="9475" max="9475" width="30.7265625" style="211" bestFit="1" customWidth="1"/>
    <col min="9476" max="9478" width="9.7265625" style="211" customWidth="1"/>
    <col min="9479" max="9479" width="10.7265625" style="211" customWidth="1"/>
    <col min="9480" max="9482" width="9.7265625" style="211" customWidth="1"/>
    <col min="9483" max="9483" width="46" style="211" bestFit="1" customWidth="1"/>
    <col min="9484" max="9729" width="9.1796875" style="211"/>
    <col min="9730" max="9730" width="13.26953125" style="211" customWidth="1"/>
    <col min="9731" max="9731" width="30.7265625" style="211" bestFit="1" customWidth="1"/>
    <col min="9732" max="9734" width="9.7265625" style="211" customWidth="1"/>
    <col min="9735" max="9735" width="10.7265625" style="211" customWidth="1"/>
    <col min="9736" max="9738" width="9.7265625" style="211" customWidth="1"/>
    <col min="9739" max="9739" width="46" style="211" bestFit="1" customWidth="1"/>
    <col min="9740" max="9985" width="9.1796875" style="211"/>
    <col min="9986" max="9986" width="13.26953125" style="211" customWidth="1"/>
    <col min="9987" max="9987" width="30.7265625" style="211" bestFit="1" customWidth="1"/>
    <col min="9988" max="9990" width="9.7265625" style="211" customWidth="1"/>
    <col min="9991" max="9991" width="10.7265625" style="211" customWidth="1"/>
    <col min="9992" max="9994" width="9.7265625" style="211" customWidth="1"/>
    <col min="9995" max="9995" width="46" style="211" bestFit="1" customWidth="1"/>
    <col min="9996" max="10241" width="9.1796875" style="211"/>
    <col min="10242" max="10242" width="13.26953125" style="211" customWidth="1"/>
    <col min="10243" max="10243" width="30.7265625" style="211" bestFit="1" customWidth="1"/>
    <col min="10244" max="10246" width="9.7265625" style="211" customWidth="1"/>
    <col min="10247" max="10247" width="10.7265625" style="211" customWidth="1"/>
    <col min="10248" max="10250" width="9.7265625" style="211" customWidth="1"/>
    <col min="10251" max="10251" width="46" style="211" bestFit="1" customWidth="1"/>
    <col min="10252" max="10497" width="9.1796875" style="211"/>
    <col min="10498" max="10498" width="13.26953125" style="211" customWidth="1"/>
    <col min="10499" max="10499" width="30.7265625" style="211" bestFit="1" customWidth="1"/>
    <col min="10500" max="10502" width="9.7265625" style="211" customWidth="1"/>
    <col min="10503" max="10503" width="10.7265625" style="211" customWidth="1"/>
    <col min="10504" max="10506" width="9.7265625" style="211" customWidth="1"/>
    <col min="10507" max="10507" width="46" style="211" bestFit="1" customWidth="1"/>
    <col min="10508" max="10753" width="9.1796875" style="211"/>
    <col min="10754" max="10754" width="13.26953125" style="211" customWidth="1"/>
    <col min="10755" max="10755" width="30.7265625" style="211" bestFit="1" customWidth="1"/>
    <col min="10756" max="10758" width="9.7265625" style="211" customWidth="1"/>
    <col min="10759" max="10759" width="10.7265625" style="211" customWidth="1"/>
    <col min="10760" max="10762" width="9.7265625" style="211" customWidth="1"/>
    <col min="10763" max="10763" width="46" style="211" bestFit="1" customWidth="1"/>
    <col min="10764" max="11009" width="9.1796875" style="211"/>
    <col min="11010" max="11010" width="13.26953125" style="211" customWidth="1"/>
    <col min="11011" max="11011" width="30.7265625" style="211" bestFit="1" customWidth="1"/>
    <col min="11012" max="11014" width="9.7265625" style="211" customWidth="1"/>
    <col min="11015" max="11015" width="10.7265625" style="211" customWidth="1"/>
    <col min="11016" max="11018" width="9.7265625" style="211" customWidth="1"/>
    <col min="11019" max="11019" width="46" style="211" bestFit="1" customWidth="1"/>
    <col min="11020" max="11265" width="9.1796875" style="211"/>
    <col min="11266" max="11266" width="13.26953125" style="211" customWidth="1"/>
    <col min="11267" max="11267" width="30.7265625" style="211" bestFit="1" customWidth="1"/>
    <col min="11268" max="11270" width="9.7265625" style="211" customWidth="1"/>
    <col min="11271" max="11271" width="10.7265625" style="211" customWidth="1"/>
    <col min="11272" max="11274" width="9.7265625" style="211" customWidth="1"/>
    <col min="11275" max="11275" width="46" style="211" bestFit="1" customWidth="1"/>
    <col min="11276" max="11521" width="9.1796875" style="211"/>
    <col min="11522" max="11522" width="13.26953125" style="211" customWidth="1"/>
    <col min="11523" max="11523" width="30.7265625" style="211" bestFit="1" customWidth="1"/>
    <col min="11524" max="11526" width="9.7265625" style="211" customWidth="1"/>
    <col min="11527" max="11527" width="10.7265625" style="211" customWidth="1"/>
    <col min="11528" max="11530" width="9.7265625" style="211" customWidth="1"/>
    <col min="11531" max="11531" width="46" style="211" bestFit="1" customWidth="1"/>
    <col min="11532" max="11777" width="9.1796875" style="211"/>
    <col min="11778" max="11778" width="13.26953125" style="211" customWidth="1"/>
    <col min="11779" max="11779" width="30.7265625" style="211" bestFit="1" customWidth="1"/>
    <col min="11780" max="11782" width="9.7265625" style="211" customWidth="1"/>
    <col min="11783" max="11783" width="10.7265625" style="211" customWidth="1"/>
    <col min="11784" max="11786" width="9.7265625" style="211" customWidth="1"/>
    <col min="11787" max="11787" width="46" style="211" bestFit="1" customWidth="1"/>
    <col min="11788" max="12033" width="9.1796875" style="211"/>
    <col min="12034" max="12034" width="13.26953125" style="211" customWidth="1"/>
    <col min="12035" max="12035" width="30.7265625" style="211" bestFit="1" customWidth="1"/>
    <col min="12036" max="12038" width="9.7265625" style="211" customWidth="1"/>
    <col min="12039" max="12039" width="10.7265625" style="211" customWidth="1"/>
    <col min="12040" max="12042" width="9.7265625" style="211" customWidth="1"/>
    <col min="12043" max="12043" width="46" style="211" bestFit="1" customWidth="1"/>
    <col min="12044" max="12289" width="9.1796875" style="211"/>
    <col min="12290" max="12290" width="13.26953125" style="211" customWidth="1"/>
    <col min="12291" max="12291" width="30.7265625" style="211" bestFit="1" customWidth="1"/>
    <col min="12292" max="12294" width="9.7265625" style="211" customWidth="1"/>
    <col min="12295" max="12295" width="10.7265625" style="211" customWidth="1"/>
    <col min="12296" max="12298" width="9.7265625" style="211" customWidth="1"/>
    <col min="12299" max="12299" width="46" style="211" bestFit="1" customWidth="1"/>
    <col min="12300" max="12545" width="9.1796875" style="211"/>
    <col min="12546" max="12546" width="13.26953125" style="211" customWidth="1"/>
    <col min="12547" max="12547" width="30.7265625" style="211" bestFit="1" customWidth="1"/>
    <col min="12548" max="12550" width="9.7265625" style="211" customWidth="1"/>
    <col min="12551" max="12551" width="10.7265625" style="211" customWidth="1"/>
    <col min="12552" max="12554" width="9.7265625" style="211" customWidth="1"/>
    <col min="12555" max="12555" width="46" style="211" bestFit="1" customWidth="1"/>
    <col min="12556" max="12801" width="9.1796875" style="211"/>
    <col min="12802" max="12802" width="13.26953125" style="211" customWidth="1"/>
    <col min="12803" max="12803" width="30.7265625" style="211" bestFit="1" customWidth="1"/>
    <col min="12804" max="12806" width="9.7265625" style="211" customWidth="1"/>
    <col min="12807" max="12807" width="10.7265625" style="211" customWidth="1"/>
    <col min="12808" max="12810" width="9.7265625" style="211" customWidth="1"/>
    <col min="12811" max="12811" width="46" style="211" bestFit="1" customWidth="1"/>
    <col min="12812" max="13057" width="9.1796875" style="211"/>
    <col min="13058" max="13058" width="13.26953125" style="211" customWidth="1"/>
    <col min="13059" max="13059" width="30.7265625" style="211" bestFit="1" customWidth="1"/>
    <col min="13060" max="13062" width="9.7265625" style="211" customWidth="1"/>
    <col min="13063" max="13063" width="10.7265625" style="211" customWidth="1"/>
    <col min="13064" max="13066" width="9.7265625" style="211" customWidth="1"/>
    <col min="13067" max="13067" width="46" style="211" bestFit="1" customWidth="1"/>
    <col min="13068" max="13313" width="9.1796875" style="211"/>
    <col min="13314" max="13314" width="13.26953125" style="211" customWidth="1"/>
    <col min="13315" max="13315" width="30.7265625" style="211" bestFit="1" customWidth="1"/>
    <col min="13316" max="13318" width="9.7265625" style="211" customWidth="1"/>
    <col min="13319" max="13319" width="10.7265625" style="211" customWidth="1"/>
    <col min="13320" max="13322" width="9.7265625" style="211" customWidth="1"/>
    <col min="13323" max="13323" width="46" style="211" bestFit="1" customWidth="1"/>
    <col min="13324" max="13569" width="9.1796875" style="211"/>
    <col min="13570" max="13570" width="13.26953125" style="211" customWidth="1"/>
    <col min="13571" max="13571" width="30.7265625" style="211" bestFit="1" customWidth="1"/>
    <col min="13572" max="13574" width="9.7265625" style="211" customWidth="1"/>
    <col min="13575" max="13575" width="10.7265625" style="211" customWidth="1"/>
    <col min="13576" max="13578" width="9.7265625" style="211" customWidth="1"/>
    <col min="13579" max="13579" width="46" style="211" bestFit="1" customWidth="1"/>
    <col min="13580" max="13825" width="9.1796875" style="211"/>
    <col min="13826" max="13826" width="13.26953125" style="211" customWidth="1"/>
    <col min="13827" max="13827" width="30.7265625" style="211" bestFit="1" customWidth="1"/>
    <col min="13828" max="13830" width="9.7265625" style="211" customWidth="1"/>
    <col min="13831" max="13831" width="10.7265625" style="211" customWidth="1"/>
    <col min="13832" max="13834" width="9.7265625" style="211" customWidth="1"/>
    <col min="13835" max="13835" width="46" style="211" bestFit="1" customWidth="1"/>
    <col min="13836" max="14081" width="9.1796875" style="211"/>
    <col min="14082" max="14082" width="13.26953125" style="211" customWidth="1"/>
    <col min="14083" max="14083" width="30.7265625" style="211" bestFit="1" customWidth="1"/>
    <col min="14084" max="14086" width="9.7265625" style="211" customWidth="1"/>
    <col min="14087" max="14087" width="10.7265625" style="211" customWidth="1"/>
    <col min="14088" max="14090" width="9.7265625" style="211" customWidth="1"/>
    <col min="14091" max="14091" width="46" style="211" bestFit="1" customWidth="1"/>
    <col min="14092" max="14337" width="9.1796875" style="211"/>
    <col min="14338" max="14338" width="13.26953125" style="211" customWidth="1"/>
    <col min="14339" max="14339" width="30.7265625" style="211" bestFit="1" customWidth="1"/>
    <col min="14340" max="14342" width="9.7265625" style="211" customWidth="1"/>
    <col min="14343" max="14343" width="10.7265625" style="211" customWidth="1"/>
    <col min="14344" max="14346" width="9.7265625" style="211" customWidth="1"/>
    <col min="14347" max="14347" width="46" style="211" bestFit="1" customWidth="1"/>
    <col min="14348" max="14593" width="9.1796875" style="211"/>
    <col min="14594" max="14594" width="13.26953125" style="211" customWidth="1"/>
    <col min="14595" max="14595" width="30.7265625" style="211" bestFit="1" customWidth="1"/>
    <col min="14596" max="14598" width="9.7265625" style="211" customWidth="1"/>
    <col min="14599" max="14599" width="10.7265625" style="211" customWidth="1"/>
    <col min="14600" max="14602" width="9.7265625" style="211" customWidth="1"/>
    <col min="14603" max="14603" width="46" style="211" bestFit="1" customWidth="1"/>
    <col min="14604" max="14849" width="9.1796875" style="211"/>
    <col min="14850" max="14850" width="13.26953125" style="211" customWidth="1"/>
    <col min="14851" max="14851" width="30.7265625" style="211" bestFit="1" customWidth="1"/>
    <col min="14852" max="14854" width="9.7265625" style="211" customWidth="1"/>
    <col min="14855" max="14855" width="10.7265625" style="211" customWidth="1"/>
    <col min="14856" max="14858" width="9.7265625" style="211" customWidth="1"/>
    <col min="14859" max="14859" width="46" style="211" bestFit="1" customWidth="1"/>
    <col min="14860" max="15105" width="9.1796875" style="211"/>
    <col min="15106" max="15106" width="13.26953125" style="211" customWidth="1"/>
    <col min="15107" max="15107" width="30.7265625" style="211" bestFit="1" customWidth="1"/>
    <col min="15108" max="15110" width="9.7265625" style="211" customWidth="1"/>
    <col min="15111" max="15111" width="10.7265625" style="211" customWidth="1"/>
    <col min="15112" max="15114" width="9.7265625" style="211" customWidth="1"/>
    <col min="15115" max="15115" width="46" style="211" bestFit="1" customWidth="1"/>
    <col min="15116" max="15361" width="9.1796875" style="211"/>
    <col min="15362" max="15362" width="13.26953125" style="211" customWidth="1"/>
    <col min="15363" max="15363" width="30.7265625" style="211" bestFit="1" customWidth="1"/>
    <col min="15364" max="15366" width="9.7265625" style="211" customWidth="1"/>
    <col min="15367" max="15367" width="10.7265625" style="211" customWidth="1"/>
    <col min="15368" max="15370" width="9.7265625" style="211" customWidth="1"/>
    <col min="15371" max="15371" width="46" style="211" bestFit="1" customWidth="1"/>
    <col min="15372" max="15617" width="9.1796875" style="211"/>
    <col min="15618" max="15618" width="13.26953125" style="211" customWidth="1"/>
    <col min="15619" max="15619" width="30.7265625" style="211" bestFit="1" customWidth="1"/>
    <col min="15620" max="15622" width="9.7265625" style="211" customWidth="1"/>
    <col min="15623" max="15623" width="10.7265625" style="211" customWidth="1"/>
    <col min="15624" max="15626" width="9.7265625" style="211" customWidth="1"/>
    <col min="15627" max="15627" width="46" style="211" bestFit="1" customWidth="1"/>
    <col min="15628" max="15873" width="9.1796875" style="211"/>
    <col min="15874" max="15874" width="13.26953125" style="211" customWidth="1"/>
    <col min="15875" max="15875" width="30.7265625" style="211" bestFit="1" customWidth="1"/>
    <col min="15876" max="15878" width="9.7265625" style="211" customWidth="1"/>
    <col min="15879" max="15879" width="10.7265625" style="211" customWidth="1"/>
    <col min="15880" max="15882" width="9.7265625" style="211" customWidth="1"/>
    <col min="15883" max="15883" width="46" style="211" bestFit="1" customWidth="1"/>
    <col min="15884" max="16129" width="9.1796875" style="211"/>
    <col min="16130" max="16130" width="13.26953125" style="211" customWidth="1"/>
    <col min="16131" max="16131" width="30.7265625" style="211" bestFit="1" customWidth="1"/>
    <col min="16132" max="16134" width="9.7265625" style="211" customWidth="1"/>
    <col min="16135" max="16135" width="10.7265625" style="211" customWidth="1"/>
    <col min="16136" max="16138" width="9.7265625" style="211" customWidth="1"/>
    <col min="16139" max="16139" width="46" style="211" bestFit="1" customWidth="1"/>
    <col min="16140" max="16384" width="9.1796875" style="211"/>
  </cols>
  <sheetData>
    <row r="1" spans="1:11">
      <c r="G1" s="214"/>
    </row>
    <row r="2" spans="1:11">
      <c r="G2" s="214"/>
    </row>
    <row r="3" spans="1:11">
      <c r="G3" s="214"/>
    </row>
    <row r="4" spans="1:11">
      <c r="G4" s="214"/>
    </row>
    <row r="5" spans="1:11">
      <c r="G5" s="214"/>
    </row>
    <row r="6" spans="1:11" ht="23">
      <c r="A6" s="215" t="s">
        <v>23</v>
      </c>
      <c r="B6" s="216" t="s">
        <v>1945</v>
      </c>
      <c r="C6" s="217" t="s">
        <v>1946</v>
      </c>
      <c r="D6" s="218" t="s">
        <v>1947</v>
      </c>
      <c r="E6" s="219" t="s">
        <v>1948</v>
      </c>
      <c r="F6" s="219" t="s">
        <v>1949</v>
      </c>
      <c r="G6" s="220" t="s">
        <v>1950</v>
      </c>
      <c r="H6" s="216" t="s">
        <v>1951</v>
      </c>
      <c r="I6" s="216" t="s">
        <v>1952</v>
      </c>
      <c r="J6" s="216" t="s">
        <v>1953</v>
      </c>
      <c r="K6" s="217" t="s">
        <v>1954</v>
      </c>
    </row>
    <row r="7" spans="1:11">
      <c r="A7" s="221">
        <v>1</v>
      </c>
      <c r="B7" s="221" t="s">
        <v>1955</v>
      </c>
      <c r="C7" s="222" t="s">
        <v>1956</v>
      </c>
      <c r="D7" s="221" t="s">
        <v>1957</v>
      </c>
      <c r="E7" s="223" t="s">
        <v>1958</v>
      </c>
      <c r="F7" s="223">
        <v>297</v>
      </c>
      <c r="G7" s="224">
        <v>9.8332999999999995</v>
      </c>
      <c r="H7" s="223">
        <v>2802</v>
      </c>
      <c r="I7" s="223">
        <v>71</v>
      </c>
      <c r="J7" s="221" t="s">
        <v>1959</v>
      </c>
      <c r="K7" s="222">
        <v>0</v>
      </c>
    </row>
    <row r="8" spans="1:11">
      <c r="A8" s="221">
        <v>1</v>
      </c>
      <c r="B8" s="221" t="s">
        <v>1960</v>
      </c>
      <c r="C8" s="222" t="s">
        <v>1961</v>
      </c>
      <c r="D8" s="221" t="s">
        <v>1957</v>
      </c>
      <c r="E8" s="223" t="s">
        <v>1958</v>
      </c>
      <c r="F8" s="223">
        <v>438</v>
      </c>
      <c r="G8" s="224">
        <v>9.8332999999999995</v>
      </c>
      <c r="H8" s="223">
        <v>4307</v>
      </c>
      <c r="I8" s="223">
        <v>71</v>
      </c>
      <c r="J8" s="221" t="s">
        <v>1962</v>
      </c>
      <c r="K8" s="222">
        <v>0</v>
      </c>
    </row>
    <row r="9" spans="1:11">
      <c r="A9" s="221">
        <v>1</v>
      </c>
      <c r="B9" s="221" t="s">
        <v>1963</v>
      </c>
      <c r="C9" s="222" t="s">
        <v>1964</v>
      </c>
      <c r="D9" s="221" t="s">
        <v>1957</v>
      </c>
      <c r="E9" s="223" t="s">
        <v>1958</v>
      </c>
      <c r="F9" s="223">
        <v>305</v>
      </c>
      <c r="G9" s="224">
        <v>9.8332999999999995</v>
      </c>
      <c r="H9" s="223">
        <v>3002</v>
      </c>
      <c r="I9" s="223">
        <v>82</v>
      </c>
      <c r="J9" s="221" t="s">
        <v>1962</v>
      </c>
      <c r="K9" s="222">
        <v>0</v>
      </c>
    </row>
    <row r="10" spans="1:11">
      <c r="A10" s="221">
        <v>1</v>
      </c>
      <c r="B10" s="221" t="s">
        <v>1965</v>
      </c>
      <c r="C10" s="222" t="s">
        <v>1966</v>
      </c>
      <c r="D10" s="221" t="s">
        <v>397</v>
      </c>
      <c r="E10" s="223" t="s">
        <v>1958</v>
      </c>
      <c r="F10" s="223">
        <v>364</v>
      </c>
      <c r="G10" s="224">
        <v>9.58</v>
      </c>
      <c r="H10" s="223">
        <v>3487</v>
      </c>
      <c r="I10" s="223">
        <v>31</v>
      </c>
      <c r="J10" s="221" t="s">
        <v>1962</v>
      </c>
      <c r="K10" s="222">
        <v>0</v>
      </c>
    </row>
    <row r="11" spans="1:11">
      <c r="A11" s="221">
        <v>1</v>
      </c>
      <c r="B11" s="221" t="s">
        <v>1967</v>
      </c>
      <c r="C11" s="222" t="s">
        <v>1968</v>
      </c>
      <c r="D11" s="221" t="s">
        <v>397</v>
      </c>
      <c r="E11" s="223" t="s">
        <v>1958</v>
      </c>
      <c r="F11" s="223">
        <v>174</v>
      </c>
      <c r="G11" s="224">
        <v>9.58</v>
      </c>
      <c r="H11" s="223">
        <v>1665</v>
      </c>
      <c r="I11" s="223">
        <v>63</v>
      </c>
      <c r="J11" s="221" t="s">
        <v>1969</v>
      </c>
      <c r="K11" s="222">
        <v>0</v>
      </c>
    </row>
    <row r="12" spans="1:11">
      <c r="A12" s="221">
        <v>1</v>
      </c>
      <c r="B12" s="221" t="s">
        <v>1970</v>
      </c>
      <c r="C12" s="222" t="s">
        <v>1971</v>
      </c>
      <c r="D12" s="221" t="s">
        <v>397</v>
      </c>
      <c r="E12" s="223" t="s">
        <v>1958</v>
      </c>
      <c r="F12" s="223">
        <v>495</v>
      </c>
      <c r="G12" s="224">
        <v>9.58</v>
      </c>
      <c r="H12" s="223">
        <v>4742</v>
      </c>
      <c r="I12" s="223">
        <v>95</v>
      </c>
      <c r="J12" s="221" t="s">
        <v>1962</v>
      </c>
      <c r="K12" s="222">
        <v>0</v>
      </c>
    </row>
    <row r="13" spans="1:11">
      <c r="A13" s="221">
        <v>1</v>
      </c>
      <c r="B13" s="221" t="s">
        <v>1972</v>
      </c>
      <c r="C13" s="222" t="s">
        <v>1973</v>
      </c>
      <c r="D13" s="221" t="s">
        <v>1974</v>
      </c>
      <c r="E13" s="223" t="s">
        <v>1958</v>
      </c>
      <c r="F13" s="223">
        <v>106</v>
      </c>
      <c r="G13" s="224">
        <v>9.42</v>
      </c>
      <c r="H13" s="223">
        <v>1658</v>
      </c>
      <c r="I13" s="223">
        <v>146</v>
      </c>
      <c r="J13" s="221" t="s">
        <v>1969</v>
      </c>
      <c r="K13" s="222" t="s">
        <v>1975</v>
      </c>
    </row>
    <row r="14" spans="1:11">
      <c r="A14" s="221">
        <v>1.1111</v>
      </c>
      <c r="B14" s="221" t="s">
        <v>1976</v>
      </c>
      <c r="C14" s="222" t="s">
        <v>1977</v>
      </c>
      <c r="D14" s="221" t="s">
        <v>1957</v>
      </c>
      <c r="E14" s="223" t="s">
        <v>1958</v>
      </c>
      <c r="F14" s="223">
        <v>429</v>
      </c>
      <c r="G14" s="224">
        <v>9.8332999999999995</v>
      </c>
      <c r="H14" s="223">
        <v>4061</v>
      </c>
      <c r="I14" s="223">
        <v>66</v>
      </c>
      <c r="J14" s="221" t="s">
        <v>1969</v>
      </c>
      <c r="K14" s="222">
        <v>0</v>
      </c>
    </row>
    <row r="15" spans="1:11">
      <c r="A15" s="221">
        <v>1.122104</v>
      </c>
      <c r="B15" s="221" t="s">
        <v>1522</v>
      </c>
      <c r="C15" s="222" t="s">
        <v>1978</v>
      </c>
      <c r="D15" s="221" t="s">
        <v>1979</v>
      </c>
      <c r="E15" s="223" t="s">
        <v>1958</v>
      </c>
      <c r="F15" s="223">
        <v>222</v>
      </c>
      <c r="G15" s="224">
        <v>9.17</v>
      </c>
      <c r="H15" s="223">
        <v>1877</v>
      </c>
      <c r="I15" s="223">
        <v>42</v>
      </c>
      <c r="J15" s="221" t="s">
        <v>1962</v>
      </c>
      <c r="K15" s="222">
        <v>0</v>
      </c>
    </row>
    <row r="16" spans="1:11">
      <c r="A16" s="221">
        <v>1.1222019999999999</v>
      </c>
      <c r="B16" s="221" t="s">
        <v>1980</v>
      </c>
      <c r="C16" s="222" t="s">
        <v>1981</v>
      </c>
      <c r="D16" s="221" t="s">
        <v>451</v>
      </c>
      <c r="E16" s="223" t="s">
        <v>1958</v>
      </c>
      <c r="F16" s="223" t="s">
        <v>1958</v>
      </c>
      <c r="G16" s="224" t="s">
        <v>1958</v>
      </c>
      <c r="H16" s="223">
        <v>139</v>
      </c>
      <c r="I16" s="223">
        <v>47</v>
      </c>
      <c r="J16" s="221" t="s">
        <v>1969</v>
      </c>
      <c r="K16" s="222">
        <v>0</v>
      </c>
    </row>
    <row r="17" spans="1:11">
      <c r="A17" s="221">
        <v>1.1310100000000001</v>
      </c>
      <c r="B17" s="221" t="s">
        <v>1982</v>
      </c>
      <c r="C17" s="222" t="s">
        <v>1983</v>
      </c>
      <c r="D17" s="221" t="s">
        <v>1957</v>
      </c>
      <c r="E17" s="223" t="s">
        <v>1958</v>
      </c>
      <c r="F17" s="223">
        <v>744</v>
      </c>
      <c r="G17" s="224">
        <v>9.8332999999999995</v>
      </c>
      <c r="H17" s="223">
        <v>6952</v>
      </c>
      <c r="I17" s="223">
        <v>56</v>
      </c>
      <c r="J17" s="221" t="s">
        <v>1962</v>
      </c>
      <c r="K17" s="222">
        <v>0</v>
      </c>
    </row>
    <row r="18" spans="1:11">
      <c r="A18" s="221">
        <v>1.13201</v>
      </c>
      <c r="B18" s="221" t="s">
        <v>1984</v>
      </c>
      <c r="C18" s="222" t="s">
        <v>1389</v>
      </c>
      <c r="D18" s="221" t="s">
        <v>1985</v>
      </c>
      <c r="E18" s="223" t="s">
        <v>1958</v>
      </c>
      <c r="F18" s="223">
        <v>969</v>
      </c>
      <c r="G18" s="224">
        <v>9.8332999999999995</v>
      </c>
      <c r="H18" s="223">
        <v>9161</v>
      </c>
      <c r="I18" s="223">
        <v>59</v>
      </c>
      <c r="J18" s="221" t="s">
        <v>1962</v>
      </c>
      <c r="K18" s="222" t="s">
        <v>1986</v>
      </c>
    </row>
    <row r="19" spans="1:11">
      <c r="A19" s="221">
        <v>1.1410100000000001</v>
      </c>
      <c r="B19" s="221" t="s">
        <v>1987</v>
      </c>
      <c r="C19" s="222" t="s">
        <v>1988</v>
      </c>
      <c r="D19" s="221" t="s">
        <v>1989</v>
      </c>
      <c r="E19" s="223" t="s">
        <v>1958</v>
      </c>
      <c r="F19" s="223">
        <v>118</v>
      </c>
      <c r="G19" s="224">
        <v>9.8332999999999995</v>
      </c>
      <c r="H19" s="223">
        <v>1160</v>
      </c>
      <c r="I19" s="223">
        <v>109</v>
      </c>
      <c r="J19" s="221" t="s">
        <v>1969</v>
      </c>
      <c r="K19" s="222">
        <v>0</v>
      </c>
    </row>
    <row r="20" spans="1:11">
      <c r="A20" s="221">
        <v>1.214</v>
      </c>
      <c r="B20" s="221" t="s">
        <v>1990</v>
      </c>
      <c r="C20" s="222" t="s">
        <v>1991</v>
      </c>
      <c r="D20" s="221" t="s">
        <v>397</v>
      </c>
      <c r="E20" s="223" t="s">
        <v>1958</v>
      </c>
      <c r="F20" s="223">
        <v>443</v>
      </c>
      <c r="G20" s="224">
        <v>9.58</v>
      </c>
      <c r="H20" s="223">
        <v>4244</v>
      </c>
      <c r="I20" s="223">
        <v>44</v>
      </c>
      <c r="J20" s="221" t="s">
        <v>1962</v>
      </c>
      <c r="K20" s="222">
        <v>0</v>
      </c>
    </row>
    <row r="21" spans="1:11">
      <c r="A21" s="221">
        <v>1.321202</v>
      </c>
      <c r="B21" s="221" t="s">
        <v>1992</v>
      </c>
      <c r="C21" s="222" t="s">
        <v>1993</v>
      </c>
      <c r="D21" s="221" t="s">
        <v>1989</v>
      </c>
      <c r="E21" s="223" t="s">
        <v>1958</v>
      </c>
      <c r="F21" s="223">
        <v>103</v>
      </c>
      <c r="G21" s="224">
        <v>9.33</v>
      </c>
      <c r="H21" s="223">
        <v>961</v>
      </c>
      <c r="I21" s="223">
        <v>138</v>
      </c>
      <c r="J21" s="221" t="s">
        <v>1959</v>
      </c>
      <c r="K21" s="222">
        <v>0</v>
      </c>
    </row>
    <row r="22" spans="1:11">
      <c r="A22" s="221">
        <v>1.3400099999999999</v>
      </c>
      <c r="B22" s="221" t="s">
        <v>1994</v>
      </c>
      <c r="C22" s="222" t="s">
        <v>1995</v>
      </c>
      <c r="D22" s="221" t="s">
        <v>397</v>
      </c>
      <c r="E22" s="223" t="s">
        <v>1958</v>
      </c>
      <c r="F22" s="223">
        <v>1886</v>
      </c>
      <c r="G22" s="224" t="s">
        <v>1958</v>
      </c>
      <c r="H22" s="223">
        <v>35731</v>
      </c>
      <c r="I22" s="223">
        <v>109</v>
      </c>
      <c r="J22" s="221" t="s">
        <v>1962</v>
      </c>
      <c r="K22" s="222" t="s">
        <v>1996</v>
      </c>
    </row>
    <row r="23" spans="1:11">
      <c r="A23" s="221">
        <v>1.3530599999999999</v>
      </c>
      <c r="B23" s="221" t="s">
        <v>1997</v>
      </c>
      <c r="C23" s="222" t="s">
        <v>1998</v>
      </c>
      <c r="D23" s="221" t="s">
        <v>1989</v>
      </c>
      <c r="E23" s="223" t="s">
        <v>1958</v>
      </c>
      <c r="F23" s="223">
        <v>89</v>
      </c>
      <c r="G23" s="224">
        <v>9.33</v>
      </c>
      <c r="H23" s="223">
        <v>830</v>
      </c>
      <c r="I23" s="223">
        <v>109</v>
      </c>
      <c r="J23" s="221" t="s">
        <v>1969</v>
      </c>
      <c r="K23" s="222">
        <v>0</v>
      </c>
    </row>
    <row r="24" spans="1:11">
      <c r="A24" s="221">
        <v>1.3641099999999999</v>
      </c>
      <c r="B24" s="221" t="s">
        <v>1999</v>
      </c>
      <c r="C24" s="222" t="s">
        <v>2000</v>
      </c>
      <c r="D24" s="221" t="s">
        <v>397</v>
      </c>
      <c r="E24" s="223" t="s">
        <v>1958</v>
      </c>
      <c r="F24" s="223">
        <v>182</v>
      </c>
      <c r="G24" s="224">
        <v>9.58</v>
      </c>
      <c r="H24" s="223">
        <v>1744</v>
      </c>
      <c r="I24" s="223">
        <v>109</v>
      </c>
      <c r="J24" s="221" t="s">
        <v>1969</v>
      </c>
      <c r="K24" s="222">
        <v>0</v>
      </c>
    </row>
    <row r="25" spans="1:11">
      <c r="A25" s="221">
        <v>1.3731100000000001</v>
      </c>
      <c r="B25" s="221" t="s">
        <v>2001</v>
      </c>
      <c r="C25" s="222" t="s">
        <v>2002</v>
      </c>
      <c r="D25" s="221" t="s">
        <v>397</v>
      </c>
      <c r="E25" s="223" t="s">
        <v>1958</v>
      </c>
      <c r="F25" s="223">
        <v>38</v>
      </c>
      <c r="G25" s="224">
        <v>9.58</v>
      </c>
      <c r="H25" s="223">
        <v>364</v>
      </c>
      <c r="I25" s="223">
        <v>40</v>
      </c>
      <c r="J25" s="221" t="s">
        <v>1959</v>
      </c>
      <c r="K25" s="222">
        <v>0</v>
      </c>
    </row>
    <row r="26" spans="1:11">
      <c r="A26" s="221">
        <v>1.3740300999999999</v>
      </c>
      <c r="B26" s="221" t="s">
        <v>2003</v>
      </c>
      <c r="C26" s="222" t="s">
        <v>2004</v>
      </c>
      <c r="D26" s="221" t="s">
        <v>397</v>
      </c>
      <c r="E26" s="223">
        <v>50</v>
      </c>
      <c r="F26" s="223">
        <v>58</v>
      </c>
      <c r="G26" s="224">
        <v>9.58</v>
      </c>
      <c r="H26" s="223">
        <v>513</v>
      </c>
      <c r="I26" s="223">
        <v>115</v>
      </c>
      <c r="J26" s="221" t="s">
        <v>1969</v>
      </c>
      <c r="K26" s="222">
        <v>0</v>
      </c>
    </row>
    <row r="27" spans="1:11">
      <c r="A27" s="221">
        <v>1.3812009999999999</v>
      </c>
      <c r="B27" s="221" t="s">
        <v>2005</v>
      </c>
      <c r="C27" s="222" t="s">
        <v>2006</v>
      </c>
      <c r="D27" s="221" t="s">
        <v>1974</v>
      </c>
      <c r="E27" s="223" t="s">
        <v>1958</v>
      </c>
      <c r="F27" s="223">
        <v>170</v>
      </c>
      <c r="G27" s="224">
        <v>9.17</v>
      </c>
      <c r="H27" s="223">
        <v>1553</v>
      </c>
      <c r="I27" s="223">
        <v>135</v>
      </c>
      <c r="J27" s="221" t="s">
        <v>1959</v>
      </c>
      <c r="K27" s="222">
        <v>0</v>
      </c>
    </row>
    <row r="28" spans="1:11">
      <c r="A28" s="221">
        <v>1.3813009999999999</v>
      </c>
      <c r="B28" s="221" t="s">
        <v>2007</v>
      </c>
      <c r="C28" s="222" t="s">
        <v>2008</v>
      </c>
      <c r="D28" s="221" t="s">
        <v>451</v>
      </c>
      <c r="E28" s="223" t="s">
        <v>1958</v>
      </c>
      <c r="F28" s="223" t="s">
        <v>1958</v>
      </c>
      <c r="G28" s="224" t="s">
        <v>1958</v>
      </c>
      <c r="H28" s="223">
        <v>95</v>
      </c>
      <c r="I28" s="223">
        <v>135</v>
      </c>
      <c r="J28" s="221" t="s">
        <v>1962</v>
      </c>
      <c r="K28" s="222">
        <v>0</v>
      </c>
    </row>
    <row r="29" spans="1:11">
      <c r="A29" s="221">
        <v>1.3813009999999999</v>
      </c>
      <c r="B29" s="221" t="s">
        <v>2009</v>
      </c>
      <c r="C29" s="222" t="s">
        <v>1250</v>
      </c>
      <c r="D29" s="221" t="s">
        <v>451</v>
      </c>
      <c r="E29" s="223" t="s">
        <v>1958</v>
      </c>
      <c r="F29" s="223" t="s">
        <v>1958</v>
      </c>
      <c r="G29" s="224" t="s">
        <v>1958</v>
      </c>
      <c r="H29" s="223">
        <v>114</v>
      </c>
      <c r="I29" s="223">
        <v>135</v>
      </c>
      <c r="J29" s="221" t="s">
        <v>1969</v>
      </c>
      <c r="K29" s="222">
        <v>0</v>
      </c>
    </row>
    <row r="30" spans="1:11">
      <c r="A30" s="221">
        <v>1.381302</v>
      </c>
      <c r="B30" s="221" t="s">
        <v>2010</v>
      </c>
      <c r="C30" s="222" t="s">
        <v>2011</v>
      </c>
      <c r="D30" s="221" t="s">
        <v>1974</v>
      </c>
      <c r="E30" s="223" t="s">
        <v>1958</v>
      </c>
      <c r="F30" s="223" t="s">
        <v>1958</v>
      </c>
      <c r="G30" s="224" t="s">
        <v>1958</v>
      </c>
      <c r="H30" s="223">
        <v>207</v>
      </c>
      <c r="I30" s="223">
        <v>135</v>
      </c>
      <c r="J30" s="221" t="s">
        <v>1959</v>
      </c>
      <c r="K30" s="222">
        <v>0</v>
      </c>
    </row>
    <row r="31" spans="1:11">
      <c r="A31" s="221">
        <v>1.381302</v>
      </c>
      <c r="B31" s="221" t="s">
        <v>2012</v>
      </c>
      <c r="C31" s="222" t="s">
        <v>2011</v>
      </c>
      <c r="D31" s="221" t="s">
        <v>1974</v>
      </c>
      <c r="E31" s="223" t="s">
        <v>1958</v>
      </c>
      <c r="F31" s="223" t="s">
        <v>1958</v>
      </c>
      <c r="G31" s="224" t="s">
        <v>1958</v>
      </c>
      <c r="H31" s="223">
        <v>307</v>
      </c>
      <c r="I31" s="223">
        <v>140</v>
      </c>
      <c r="J31" s="221" t="s">
        <v>1959</v>
      </c>
      <c r="K31" s="222">
        <v>0</v>
      </c>
    </row>
    <row r="32" spans="1:11">
      <c r="A32" s="221">
        <v>1.3813029999999999</v>
      </c>
      <c r="B32" s="221" t="s">
        <v>2013</v>
      </c>
      <c r="C32" s="222" t="s">
        <v>1247</v>
      </c>
      <c r="D32" s="221" t="s">
        <v>451</v>
      </c>
      <c r="E32" s="223" t="s">
        <v>1958</v>
      </c>
      <c r="F32" s="223" t="s">
        <v>1958</v>
      </c>
      <c r="G32" s="224" t="s">
        <v>1958</v>
      </c>
      <c r="H32" s="223">
        <v>1027</v>
      </c>
      <c r="I32" s="223">
        <v>144</v>
      </c>
      <c r="J32" s="221" t="s">
        <v>1969</v>
      </c>
      <c r="K32" s="222">
        <v>0</v>
      </c>
    </row>
    <row r="33" spans="1:11">
      <c r="A33" s="221">
        <v>1.3813029999999999</v>
      </c>
      <c r="B33" s="221" t="s">
        <v>2014</v>
      </c>
      <c r="C33" s="222" t="s">
        <v>1247</v>
      </c>
      <c r="D33" s="221" t="s">
        <v>451</v>
      </c>
      <c r="E33" s="223" t="s">
        <v>1958</v>
      </c>
      <c r="F33" s="223" t="s">
        <v>1958</v>
      </c>
      <c r="G33" s="224" t="s">
        <v>1958</v>
      </c>
      <c r="H33" s="223">
        <v>830</v>
      </c>
      <c r="I33" s="223">
        <v>147</v>
      </c>
      <c r="J33" s="221" t="s">
        <v>1969</v>
      </c>
      <c r="K33" s="222">
        <v>0</v>
      </c>
    </row>
    <row r="34" spans="1:11">
      <c r="A34" s="221">
        <v>1.3813029999999999</v>
      </c>
      <c r="B34" s="221" t="s">
        <v>2015</v>
      </c>
      <c r="C34" s="222" t="s">
        <v>1247</v>
      </c>
      <c r="D34" s="221" t="s">
        <v>451</v>
      </c>
      <c r="E34" s="223" t="s">
        <v>1958</v>
      </c>
      <c r="F34" s="223" t="s">
        <v>1958</v>
      </c>
      <c r="G34" s="224" t="s">
        <v>1958</v>
      </c>
      <c r="H34" s="223">
        <v>830</v>
      </c>
      <c r="I34" s="223">
        <v>147</v>
      </c>
      <c r="J34" s="221" t="s">
        <v>1959</v>
      </c>
      <c r="K34" s="222">
        <v>0</v>
      </c>
    </row>
    <row r="35" spans="1:11">
      <c r="A35" s="221">
        <v>1.3813029999999999</v>
      </c>
      <c r="B35" s="221" t="s">
        <v>2016</v>
      </c>
      <c r="C35" s="222" t="s">
        <v>1247</v>
      </c>
      <c r="D35" s="221" t="s">
        <v>451</v>
      </c>
      <c r="E35" s="223" t="s">
        <v>1958</v>
      </c>
      <c r="F35" s="223" t="s">
        <v>1958</v>
      </c>
      <c r="G35" s="224" t="s">
        <v>1958</v>
      </c>
      <c r="H35" s="223">
        <v>830</v>
      </c>
      <c r="I35" s="223">
        <v>148</v>
      </c>
      <c r="J35" s="221" t="s">
        <v>1959</v>
      </c>
      <c r="K35" s="222">
        <v>0</v>
      </c>
    </row>
    <row r="36" spans="1:11">
      <c r="A36" s="221">
        <v>1.3813029999999999</v>
      </c>
      <c r="B36" s="221" t="s">
        <v>2017</v>
      </c>
      <c r="C36" s="222" t="s">
        <v>1247</v>
      </c>
      <c r="D36" s="221" t="s">
        <v>451</v>
      </c>
      <c r="E36" s="223" t="s">
        <v>1958</v>
      </c>
      <c r="F36" s="223" t="s">
        <v>1958</v>
      </c>
      <c r="G36" s="224" t="s">
        <v>1958</v>
      </c>
      <c r="H36" s="223">
        <v>1901</v>
      </c>
      <c r="I36" s="223">
        <v>159</v>
      </c>
      <c r="J36" s="221" t="s">
        <v>1969</v>
      </c>
      <c r="K36" s="222">
        <v>0</v>
      </c>
    </row>
    <row r="37" spans="1:11">
      <c r="A37" s="221">
        <v>1.3911020000000001</v>
      </c>
      <c r="B37" s="221" t="s">
        <v>2018</v>
      </c>
      <c r="C37" s="222" t="s">
        <v>2019</v>
      </c>
      <c r="D37" s="221" t="s">
        <v>397</v>
      </c>
      <c r="E37" s="223" t="s">
        <v>1958</v>
      </c>
      <c r="F37" s="223">
        <v>64</v>
      </c>
      <c r="G37" s="224">
        <v>9.58</v>
      </c>
      <c r="H37" s="223">
        <v>556</v>
      </c>
      <c r="I37" s="223">
        <v>133</v>
      </c>
      <c r="J37" s="221" t="s">
        <v>1969</v>
      </c>
      <c r="K37" s="222">
        <v>0</v>
      </c>
    </row>
    <row r="38" spans="1:11">
      <c r="A38" s="221">
        <v>1.3911039999999999</v>
      </c>
      <c r="B38" s="221" t="s">
        <v>761</v>
      </c>
      <c r="C38" s="222" t="s">
        <v>2020</v>
      </c>
      <c r="D38" s="221" t="s">
        <v>397</v>
      </c>
      <c r="E38" s="223">
        <v>450</v>
      </c>
      <c r="F38" s="223">
        <v>277</v>
      </c>
      <c r="G38" s="224">
        <v>9.58</v>
      </c>
      <c r="H38" s="223">
        <v>2472</v>
      </c>
      <c r="I38" s="223">
        <v>115</v>
      </c>
      <c r="J38" s="221" t="s">
        <v>1959</v>
      </c>
      <c r="K38" s="222" t="s">
        <v>2021</v>
      </c>
    </row>
    <row r="39" spans="1:11">
      <c r="A39" s="221">
        <v>1.3911039999999999</v>
      </c>
      <c r="B39" s="221" t="s">
        <v>2022</v>
      </c>
      <c r="C39" s="222" t="s">
        <v>2023</v>
      </c>
      <c r="D39" s="221" t="s">
        <v>397</v>
      </c>
      <c r="E39" s="223">
        <v>450</v>
      </c>
      <c r="F39" s="223">
        <v>89</v>
      </c>
      <c r="G39" s="224">
        <v>9.58</v>
      </c>
      <c r="H39" s="223">
        <v>853</v>
      </c>
      <c r="I39" s="223">
        <v>118</v>
      </c>
      <c r="J39" s="221" t="s">
        <v>1969</v>
      </c>
      <c r="K39" s="222" t="s">
        <v>2021</v>
      </c>
    </row>
    <row r="40" spans="1:11">
      <c r="A40" s="221">
        <v>1.3911039999999999</v>
      </c>
      <c r="B40" s="221" t="s">
        <v>2024</v>
      </c>
      <c r="C40" s="222" t="s">
        <v>2025</v>
      </c>
      <c r="D40" s="221" t="s">
        <v>397</v>
      </c>
      <c r="E40" s="223">
        <v>450</v>
      </c>
      <c r="F40" s="223">
        <v>148</v>
      </c>
      <c r="G40" s="224">
        <v>9.58</v>
      </c>
      <c r="H40" s="223">
        <v>1303</v>
      </c>
      <c r="I40" s="223">
        <v>130</v>
      </c>
      <c r="J40" s="221" t="s">
        <v>1959</v>
      </c>
      <c r="K40" s="222" t="s">
        <v>2021</v>
      </c>
    </row>
    <row r="41" spans="1:11">
      <c r="A41" s="221">
        <v>1.56002</v>
      </c>
      <c r="B41" s="221" t="s">
        <v>2026</v>
      </c>
      <c r="C41" s="222" t="s">
        <v>2027</v>
      </c>
      <c r="D41" s="221" t="s">
        <v>397</v>
      </c>
      <c r="E41" s="223" t="s">
        <v>1958</v>
      </c>
      <c r="F41" s="223">
        <v>15</v>
      </c>
      <c r="G41" s="224">
        <v>9.58</v>
      </c>
      <c r="H41" s="223">
        <v>153</v>
      </c>
      <c r="I41" s="223">
        <v>109</v>
      </c>
      <c r="J41" s="221" t="s">
        <v>1969</v>
      </c>
      <c r="K41" s="222">
        <v>0</v>
      </c>
    </row>
    <row r="42" spans="1:11">
      <c r="A42" s="221">
        <v>1.56002</v>
      </c>
      <c r="B42" s="221" t="s">
        <v>2028</v>
      </c>
      <c r="C42" s="222" t="s">
        <v>2029</v>
      </c>
      <c r="D42" s="221" t="s">
        <v>397</v>
      </c>
      <c r="E42" s="223" t="s">
        <v>1958</v>
      </c>
      <c r="F42" s="223">
        <v>11</v>
      </c>
      <c r="G42" s="224">
        <v>9.58</v>
      </c>
      <c r="H42" s="223">
        <v>115</v>
      </c>
      <c r="I42" s="223">
        <v>123</v>
      </c>
      <c r="J42" s="221" t="s">
        <v>1969</v>
      </c>
      <c r="K42" s="222">
        <v>0</v>
      </c>
    </row>
    <row r="43" spans="1:11">
      <c r="A43" s="221">
        <v>1.6170100000000001</v>
      </c>
      <c r="B43" s="221" t="s">
        <v>2030</v>
      </c>
      <c r="C43" s="222" t="s">
        <v>2031</v>
      </c>
      <c r="D43" s="221" t="s">
        <v>1974</v>
      </c>
      <c r="E43" s="223" t="s">
        <v>1958</v>
      </c>
      <c r="F43" s="223">
        <v>190</v>
      </c>
      <c r="G43" s="224">
        <v>9.99</v>
      </c>
      <c r="H43" s="223">
        <v>2402</v>
      </c>
      <c r="I43" s="223">
        <v>150</v>
      </c>
      <c r="J43" s="221" t="s">
        <v>1969</v>
      </c>
      <c r="K43" s="222">
        <v>0</v>
      </c>
    </row>
    <row r="44" spans="1:11">
      <c r="A44" s="221">
        <v>1.83</v>
      </c>
      <c r="B44" s="221" t="s">
        <v>2032</v>
      </c>
      <c r="C44" s="222" t="s">
        <v>2033</v>
      </c>
      <c r="D44" s="221" t="s">
        <v>2034</v>
      </c>
      <c r="E44" s="223" t="s">
        <v>1958</v>
      </c>
      <c r="F44" s="223">
        <v>484</v>
      </c>
      <c r="G44" s="224">
        <v>9.5</v>
      </c>
      <c r="H44" s="223">
        <v>4695</v>
      </c>
      <c r="I44" s="223">
        <v>174</v>
      </c>
      <c r="J44" s="221" t="s">
        <v>1962</v>
      </c>
      <c r="K44" s="222">
        <v>0</v>
      </c>
    </row>
    <row r="45" spans="1:11">
      <c r="A45" s="221">
        <v>1.83</v>
      </c>
      <c r="B45" s="221" t="s">
        <v>2035</v>
      </c>
      <c r="C45" s="222" t="s">
        <v>2036</v>
      </c>
      <c r="D45" s="221" t="s">
        <v>2034</v>
      </c>
      <c r="E45" s="223" t="s">
        <v>1958</v>
      </c>
      <c r="F45" s="223">
        <v>191</v>
      </c>
      <c r="G45" s="224">
        <v>9.5</v>
      </c>
      <c r="H45" s="223">
        <v>1791</v>
      </c>
      <c r="I45" s="223">
        <v>174</v>
      </c>
      <c r="J45" s="221" t="s">
        <v>1969</v>
      </c>
      <c r="K45" s="222">
        <v>0</v>
      </c>
    </row>
    <row r="46" spans="1:11">
      <c r="A46" s="221">
        <v>1.83</v>
      </c>
      <c r="B46" s="221" t="s">
        <v>1784</v>
      </c>
      <c r="C46" s="222" t="s">
        <v>2037</v>
      </c>
      <c r="D46" s="221" t="s">
        <v>2034</v>
      </c>
      <c r="E46" s="223" t="s">
        <v>1958</v>
      </c>
      <c r="F46" s="223">
        <v>191</v>
      </c>
      <c r="G46" s="224">
        <v>9.5</v>
      </c>
      <c r="H46" s="223">
        <v>1791</v>
      </c>
      <c r="I46" s="223">
        <v>174</v>
      </c>
      <c r="J46" s="221" t="s">
        <v>1959</v>
      </c>
      <c r="K46" s="222">
        <v>0</v>
      </c>
    </row>
    <row r="47" spans="1:11">
      <c r="A47" s="221">
        <v>1.91001</v>
      </c>
      <c r="B47" s="221" t="s">
        <v>2038</v>
      </c>
      <c r="C47" s="222" t="s">
        <v>2039</v>
      </c>
      <c r="D47" s="221" t="s">
        <v>397</v>
      </c>
      <c r="E47" s="223" t="s">
        <v>1958</v>
      </c>
      <c r="F47" s="223">
        <v>375</v>
      </c>
      <c r="G47" s="224">
        <v>9.58</v>
      </c>
      <c r="H47" s="223">
        <v>3593</v>
      </c>
      <c r="I47" s="223">
        <v>35</v>
      </c>
      <c r="J47" s="221" t="s">
        <v>1969</v>
      </c>
      <c r="K47" s="222">
        <v>0</v>
      </c>
    </row>
    <row r="48" spans="1:11">
      <c r="A48" s="221">
        <v>1.9100200000000001</v>
      </c>
      <c r="B48" s="221" t="s">
        <v>2040</v>
      </c>
      <c r="C48" s="222" t="s">
        <v>2041</v>
      </c>
      <c r="D48" s="221" t="s">
        <v>397</v>
      </c>
      <c r="E48" s="223" t="s">
        <v>1958</v>
      </c>
      <c r="F48" s="223">
        <v>45</v>
      </c>
      <c r="G48" s="224">
        <v>9.58</v>
      </c>
      <c r="H48" s="223">
        <v>431</v>
      </c>
      <c r="I48" s="223">
        <v>48</v>
      </c>
      <c r="J48" s="221" t="s">
        <v>1959</v>
      </c>
      <c r="K48" s="222">
        <v>0</v>
      </c>
    </row>
    <row r="49" spans="1:16">
      <c r="A49" s="221">
        <v>1.9100200000000001</v>
      </c>
      <c r="B49" s="221" t="s">
        <v>2042</v>
      </c>
      <c r="C49" s="222" t="s">
        <v>2043</v>
      </c>
      <c r="D49" s="221" t="s">
        <v>397</v>
      </c>
      <c r="E49" s="223" t="s">
        <v>1958</v>
      </c>
      <c r="F49" s="223">
        <v>46</v>
      </c>
      <c r="G49" s="224">
        <v>9.58</v>
      </c>
      <c r="H49" s="223">
        <v>442</v>
      </c>
      <c r="I49" s="223">
        <v>51</v>
      </c>
      <c r="J49" s="221" t="s">
        <v>1959</v>
      </c>
      <c r="K49" s="222">
        <v>0</v>
      </c>
    </row>
    <row r="50" spans="1:16">
      <c r="A50" s="221">
        <v>1.94</v>
      </c>
      <c r="B50" s="221" t="s">
        <v>2044</v>
      </c>
      <c r="C50" s="222" t="s">
        <v>2045</v>
      </c>
      <c r="D50" s="221" t="s">
        <v>397</v>
      </c>
      <c r="E50" s="223" t="s">
        <v>1958</v>
      </c>
      <c r="F50" s="223">
        <v>103</v>
      </c>
      <c r="G50" s="224">
        <v>9.58</v>
      </c>
      <c r="H50" s="223">
        <v>987</v>
      </c>
      <c r="I50" s="223">
        <v>95</v>
      </c>
      <c r="J50" s="221" t="s">
        <v>1959</v>
      </c>
      <c r="K50" s="222">
        <v>0</v>
      </c>
    </row>
    <row r="51" spans="1:16">
      <c r="A51" s="426" t="s">
        <v>2046</v>
      </c>
      <c r="B51" s="427"/>
      <c r="C51" s="428"/>
      <c r="D51" s="215"/>
      <c r="E51" s="225"/>
      <c r="F51" s="225">
        <v>9859</v>
      </c>
      <c r="G51" s="226"/>
      <c r="H51" s="225">
        <v>118678</v>
      </c>
      <c r="I51" s="225"/>
      <c r="J51" s="215"/>
      <c r="K51" s="222"/>
    </row>
    <row r="52" spans="1:16">
      <c r="A52" s="221">
        <v>2</v>
      </c>
      <c r="B52" s="221" t="s">
        <v>2047</v>
      </c>
      <c r="C52" s="227" t="s">
        <v>2048</v>
      </c>
      <c r="D52" s="228" t="s">
        <v>1989</v>
      </c>
      <c r="E52" s="223" t="s">
        <v>1958</v>
      </c>
      <c r="F52" s="223">
        <v>18</v>
      </c>
      <c r="G52" s="223">
        <v>9.33</v>
      </c>
      <c r="H52" s="223">
        <v>153</v>
      </c>
      <c r="I52" s="223">
        <v>54</v>
      </c>
      <c r="J52" s="223" t="s">
        <v>1959</v>
      </c>
      <c r="K52" s="229">
        <v>0</v>
      </c>
      <c r="L52" s="213"/>
      <c r="M52" s="213"/>
      <c r="N52" s="230"/>
      <c r="O52" s="230"/>
      <c r="P52" s="230"/>
    </row>
    <row r="53" spans="1:16">
      <c r="A53" s="221">
        <v>2.1111100999999999</v>
      </c>
      <c r="B53" s="221" t="s">
        <v>2049</v>
      </c>
      <c r="C53" s="222" t="s">
        <v>1195</v>
      </c>
      <c r="D53" s="221" t="s">
        <v>1989</v>
      </c>
      <c r="E53" s="223">
        <v>250</v>
      </c>
      <c r="F53" s="223">
        <v>329</v>
      </c>
      <c r="G53" s="224">
        <v>9.33</v>
      </c>
      <c r="H53" s="223">
        <v>2640</v>
      </c>
      <c r="I53" s="223">
        <v>44</v>
      </c>
      <c r="J53" s="221" t="s">
        <v>1969</v>
      </c>
      <c r="K53" s="222">
        <v>0</v>
      </c>
    </row>
    <row r="54" spans="1:16">
      <c r="A54" s="221">
        <v>2.1111103999999998</v>
      </c>
      <c r="B54" s="221" t="s">
        <v>2050</v>
      </c>
      <c r="C54" s="222" t="s">
        <v>2051</v>
      </c>
      <c r="D54" s="221" t="s">
        <v>1989</v>
      </c>
      <c r="E54" s="223">
        <v>100</v>
      </c>
      <c r="F54" s="223">
        <v>148</v>
      </c>
      <c r="G54" s="224">
        <v>9.33</v>
      </c>
      <c r="H54" s="223">
        <v>1335</v>
      </c>
      <c r="I54" s="223">
        <v>56</v>
      </c>
      <c r="J54" s="221" t="s">
        <v>1969</v>
      </c>
      <c r="K54" s="222">
        <v>0</v>
      </c>
    </row>
    <row r="55" spans="1:16">
      <c r="A55" s="221">
        <v>2.1111205000000002</v>
      </c>
      <c r="B55" s="221" t="s">
        <v>2052</v>
      </c>
      <c r="C55" s="222" t="s">
        <v>2053</v>
      </c>
      <c r="D55" s="221" t="s">
        <v>1989</v>
      </c>
      <c r="E55" s="223">
        <v>100</v>
      </c>
      <c r="F55" s="223">
        <v>194</v>
      </c>
      <c r="G55" s="224">
        <v>9.33</v>
      </c>
      <c r="H55" s="223">
        <v>1545</v>
      </c>
      <c r="I55" s="223">
        <v>44</v>
      </c>
      <c r="J55" s="221" t="s">
        <v>1959</v>
      </c>
      <c r="K55" s="222">
        <v>0</v>
      </c>
    </row>
    <row r="56" spans="1:16">
      <c r="A56" s="221">
        <v>2.1111206</v>
      </c>
      <c r="B56" s="221" t="s">
        <v>2054</v>
      </c>
      <c r="C56" s="222" t="s">
        <v>2055</v>
      </c>
      <c r="D56" s="221" t="s">
        <v>1989</v>
      </c>
      <c r="E56" s="223">
        <v>100</v>
      </c>
      <c r="F56" s="223">
        <v>254</v>
      </c>
      <c r="G56" s="224">
        <v>9.33</v>
      </c>
      <c r="H56" s="223">
        <v>1966</v>
      </c>
      <c r="I56" s="223">
        <v>44</v>
      </c>
      <c r="J56" s="221" t="s">
        <v>1959</v>
      </c>
      <c r="K56" s="222">
        <v>0</v>
      </c>
    </row>
    <row r="57" spans="1:16">
      <c r="A57" s="221">
        <v>2.1111209999999998</v>
      </c>
      <c r="B57" s="221" t="s">
        <v>2056</v>
      </c>
      <c r="C57" s="222" t="s">
        <v>2057</v>
      </c>
      <c r="D57" s="221" t="s">
        <v>1989</v>
      </c>
      <c r="E57" s="223">
        <v>100</v>
      </c>
      <c r="F57" s="223">
        <v>181</v>
      </c>
      <c r="G57" s="224">
        <v>9.33</v>
      </c>
      <c r="H57" s="223">
        <v>1433</v>
      </c>
      <c r="I57" s="223">
        <v>44</v>
      </c>
      <c r="J57" s="221" t="s">
        <v>1969</v>
      </c>
      <c r="K57" s="222">
        <v>0</v>
      </c>
    </row>
    <row r="58" spans="1:16">
      <c r="A58" s="221">
        <v>2.1111301999999998</v>
      </c>
      <c r="B58" s="221" t="s">
        <v>2058</v>
      </c>
      <c r="C58" s="222" t="s">
        <v>2059</v>
      </c>
      <c r="D58" s="221" t="s">
        <v>1989</v>
      </c>
      <c r="E58" s="223">
        <v>135</v>
      </c>
      <c r="F58" s="223">
        <v>156</v>
      </c>
      <c r="G58" s="224">
        <v>9.33</v>
      </c>
      <c r="H58" s="223">
        <v>1455</v>
      </c>
      <c r="I58" s="223">
        <v>61</v>
      </c>
      <c r="J58" s="221" t="s">
        <v>1959</v>
      </c>
      <c r="K58" s="222">
        <v>0</v>
      </c>
    </row>
    <row r="59" spans="1:16">
      <c r="A59" s="221">
        <v>2.1111301999999998</v>
      </c>
      <c r="B59" s="221" t="s">
        <v>2060</v>
      </c>
      <c r="C59" s="222" t="s">
        <v>2059</v>
      </c>
      <c r="D59" s="221" t="s">
        <v>1989</v>
      </c>
      <c r="E59" s="223">
        <v>135</v>
      </c>
      <c r="F59" s="223">
        <v>156</v>
      </c>
      <c r="G59" s="224">
        <v>9.33</v>
      </c>
      <c r="H59" s="223">
        <v>1395</v>
      </c>
      <c r="I59" s="223">
        <v>63</v>
      </c>
      <c r="J59" s="221" t="s">
        <v>1959</v>
      </c>
      <c r="K59" s="222">
        <v>0</v>
      </c>
    </row>
    <row r="60" spans="1:16">
      <c r="A60" s="221">
        <v>2.1111301999999998</v>
      </c>
      <c r="B60" s="221" t="s">
        <v>2061</v>
      </c>
      <c r="C60" s="222" t="s">
        <v>2059</v>
      </c>
      <c r="D60" s="221" t="s">
        <v>1989</v>
      </c>
      <c r="E60" s="223">
        <v>135</v>
      </c>
      <c r="F60" s="223">
        <v>143</v>
      </c>
      <c r="G60" s="224">
        <v>9.33</v>
      </c>
      <c r="H60" s="223">
        <v>1283</v>
      </c>
      <c r="I60" s="223">
        <v>65</v>
      </c>
      <c r="J60" s="221" t="s">
        <v>1969</v>
      </c>
      <c r="K60" s="222">
        <v>0</v>
      </c>
    </row>
    <row r="61" spans="1:16">
      <c r="A61" s="221">
        <v>2.1111301999999998</v>
      </c>
      <c r="B61" s="221" t="s">
        <v>2062</v>
      </c>
      <c r="C61" s="222" t="s">
        <v>2059</v>
      </c>
      <c r="D61" s="221" t="s">
        <v>1989</v>
      </c>
      <c r="E61" s="223">
        <v>135</v>
      </c>
      <c r="F61" s="223">
        <v>148</v>
      </c>
      <c r="G61" s="224">
        <v>9.33</v>
      </c>
      <c r="H61" s="223">
        <v>1381</v>
      </c>
      <c r="I61" s="223">
        <v>67</v>
      </c>
      <c r="J61" s="221" t="s">
        <v>1969</v>
      </c>
      <c r="K61" s="222">
        <v>0</v>
      </c>
    </row>
    <row r="62" spans="1:16">
      <c r="A62" s="221">
        <v>2.1111301999999998</v>
      </c>
      <c r="B62" s="221" t="s">
        <v>2063</v>
      </c>
      <c r="C62" s="222" t="s">
        <v>2059</v>
      </c>
      <c r="D62" s="221" t="s">
        <v>1989</v>
      </c>
      <c r="E62" s="223">
        <v>135</v>
      </c>
      <c r="F62" s="223">
        <v>156</v>
      </c>
      <c r="G62" s="224">
        <v>9.33</v>
      </c>
      <c r="H62" s="223">
        <v>1455</v>
      </c>
      <c r="I62" s="223">
        <v>70</v>
      </c>
      <c r="J62" s="221" t="s">
        <v>1959</v>
      </c>
      <c r="K62" s="222">
        <v>0</v>
      </c>
    </row>
    <row r="63" spans="1:16">
      <c r="A63" s="221">
        <v>2.1111301999999998</v>
      </c>
      <c r="B63" s="221" t="s">
        <v>2064</v>
      </c>
      <c r="C63" s="222" t="s">
        <v>2059</v>
      </c>
      <c r="D63" s="221" t="s">
        <v>1989</v>
      </c>
      <c r="E63" s="223">
        <v>135</v>
      </c>
      <c r="F63" s="223">
        <v>225</v>
      </c>
      <c r="G63" s="224">
        <v>9.33</v>
      </c>
      <c r="H63" s="223">
        <v>1950</v>
      </c>
      <c r="I63" s="223">
        <v>72</v>
      </c>
      <c r="J63" s="221" t="s">
        <v>1959</v>
      </c>
      <c r="K63" s="222">
        <v>0</v>
      </c>
    </row>
    <row r="64" spans="1:16">
      <c r="A64" s="221">
        <v>2.1111301999999998</v>
      </c>
      <c r="B64" s="221" t="s">
        <v>2065</v>
      </c>
      <c r="C64" s="222" t="s">
        <v>2059</v>
      </c>
      <c r="D64" s="221" t="s">
        <v>1989</v>
      </c>
      <c r="E64" s="223">
        <v>135</v>
      </c>
      <c r="F64" s="223">
        <v>222</v>
      </c>
      <c r="G64" s="224">
        <v>9.33</v>
      </c>
      <c r="H64" s="223">
        <v>1927</v>
      </c>
      <c r="I64" s="223">
        <v>73</v>
      </c>
      <c r="J64" s="221" t="s">
        <v>1969</v>
      </c>
      <c r="K64" s="222">
        <v>0</v>
      </c>
    </row>
    <row r="65" spans="1:11">
      <c r="A65" s="221">
        <v>2.1111301999999998</v>
      </c>
      <c r="B65" s="221" t="s">
        <v>2066</v>
      </c>
      <c r="C65" s="222" t="s">
        <v>2059</v>
      </c>
      <c r="D65" s="221" t="s">
        <v>1989</v>
      </c>
      <c r="E65" s="223">
        <v>135</v>
      </c>
      <c r="F65" s="223">
        <v>155</v>
      </c>
      <c r="G65" s="224">
        <v>9.33</v>
      </c>
      <c r="H65" s="223">
        <v>1446</v>
      </c>
      <c r="I65" s="223">
        <v>75</v>
      </c>
      <c r="J65" s="221" t="s">
        <v>1969</v>
      </c>
      <c r="K65" s="222">
        <v>0</v>
      </c>
    </row>
    <row r="66" spans="1:11">
      <c r="A66" s="221">
        <v>2.1121101000000002</v>
      </c>
      <c r="B66" s="221" t="s">
        <v>2067</v>
      </c>
      <c r="C66" s="222" t="s">
        <v>2068</v>
      </c>
      <c r="D66" s="221" t="s">
        <v>1989</v>
      </c>
      <c r="E66" s="223">
        <v>38</v>
      </c>
      <c r="F66" s="223">
        <v>45</v>
      </c>
      <c r="G66" s="224">
        <v>9.33</v>
      </c>
      <c r="H66" s="223">
        <v>420</v>
      </c>
      <c r="I66" s="223">
        <v>56</v>
      </c>
      <c r="J66" s="221" t="s">
        <v>1969</v>
      </c>
      <c r="K66" s="222" t="s">
        <v>2069</v>
      </c>
    </row>
    <row r="67" spans="1:11">
      <c r="A67" s="221">
        <v>2.1121200999999998</v>
      </c>
      <c r="B67" s="221" t="s">
        <v>2070</v>
      </c>
      <c r="C67" s="222" t="s">
        <v>2068</v>
      </c>
      <c r="D67" s="221" t="s">
        <v>1989</v>
      </c>
      <c r="E67" s="223">
        <v>31</v>
      </c>
      <c r="F67" s="223">
        <v>44</v>
      </c>
      <c r="G67" s="224">
        <v>9.33</v>
      </c>
      <c r="H67" s="223">
        <v>411</v>
      </c>
      <c r="I67" s="223">
        <v>54</v>
      </c>
      <c r="J67" s="221" t="s">
        <v>1959</v>
      </c>
      <c r="K67" s="222" t="s">
        <v>2071</v>
      </c>
    </row>
    <row r="68" spans="1:11">
      <c r="A68" s="221">
        <v>2.1121303</v>
      </c>
      <c r="B68" s="221" t="s">
        <v>2072</v>
      </c>
      <c r="C68" s="222" t="s">
        <v>2068</v>
      </c>
      <c r="D68" s="221" t="s">
        <v>1989</v>
      </c>
      <c r="E68" s="223">
        <v>28</v>
      </c>
      <c r="F68" s="223">
        <v>41</v>
      </c>
      <c r="G68" s="224">
        <v>9.33</v>
      </c>
      <c r="H68" s="223">
        <v>383</v>
      </c>
      <c r="I68" s="223">
        <v>50</v>
      </c>
      <c r="J68" s="221" t="s">
        <v>1969</v>
      </c>
      <c r="K68" s="222" t="s">
        <v>2073</v>
      </c>
    </row>
    <row r="69" spans="1:11">
      <c r="A69" s="221">
        <v>2.1121303</v>
      </c>
      <c r="B69" s="221" t="s">
        <v>2074</v>
      </c>
      <c r="C69" s="222" t="s">
        <v>2068</v>
      </c>
      <c r="D69" s="221" t="s">
        <v>1989</v>
      </c>
      <c r="E69" s="223">
        <v>31</v>
      </c>
      <c r="F69" s="223">
        <v>41</v>
      </c>
      <c r="G69" s="224">
        <v>9.33</v>
      </c>
      <c r="H69" s="223">
        <v>383</v>
      </c>
      <c r="I69" s="223">
        <v>50</v>
      </c>
      <c r="J69" s="221" t="s">
        <v>1959</v>
      </c>
      <c r="K69" s="222" t="s">
        <v>2075</v>
      </c>
    </row>
    <row r="70" spans="1:11">
      <c r="A70" s="221">
        <v>2.1121303</v>
      </c>
      <c r="B70" s="221" t="s">
        <v>2076</v>
      </c>
      <c r="C70" s="222" t="s">
        <v>2068</v>
      </c>
      <c r="D70" s="221" t="s">
        <v>1989</v>
      </c>
      <c r="E70" s="223">
        <v>28</v>
      </c>
      <c r="F70" s="223">
        <v>36</v>
      </c>
      <c r="G70" s="224">
        <v>9.33</v>
      </c>
      <c r="H70" s="223">
        <v>336</v>
      </c>
      <c r="I70" s="223">
        <v>65</v>
      </c>
      <c r="J70" s="221" t="s">
        <v>1959</v>
      </c>
      <c r="K70" s="222" t="s">
        <v>2077</v>
      </c>
    </row>
    <row r="71" spans="1:11">
      <c r="A71" s="221">
        <v>2.1121303</v>
      </c>
      <c r="B71" s="221" t="s">
        <v>2078</v>
      </c>
      <c r="C71" s="222" t="s">
        <v>2068</v>
      </c>
      <c r="D71" s="221" t="s">
        <v>1989</v>
      </c>
      <c r="E71" s="223">
        <v>28</v>
      </c>
      <c r="F71" s="223">
        <v>34</v>
      </c>
      <c r="G71" s="224">
        <v>9.33</v>
      </c>
      <c r="H71" s="223">
        <v>317</v>
      </c>
      <c r="I71" s="223">
        <v>66</v>
      </c>
      <c r="J71" s="221" t="s">
        <v>1969</v>
      </c>
      <c r="K71" s="222" t="s">
        <v>2077</v>
      </c>
    </row>
    <row r="72" spans="1:11">
      <c r="A72" s="221">
        <v>2.1121303</v>
      </c>
      <c r="B72" s="221" t="s">
        <v>2079</v>
      </c>
      <c r="C72" s="222" t="s">
        <v>2068</v>
      </c>
      <c r="D72" s="221" t="s">
        <v>1989</v>
      </c>
      <c r="E72" s="223">
        <v>28</v>
      </c>
      <c r="F72" s="223">
        <v>34</v>
      </c>
      <c r="G72" s="224">
        <v>9.33</v>
      </c>
      <c r="H72" s="223">
        <v>317</v>
      </c>
      <c r="I72" s="223">
        <v>66</v>
      </c>
      <c r="J72" s="221" t="s">
        <v>1959</v>
      </c>
      <c r="K72" s="222" t="s">
        <v>2077</v>
      </c>
    </row>
    <row r="73" spans="1:11">
      <c r="A73" s="221">
        <v>2.1121303</v>
      </c>
      <c r="B73" s="221" t="s">
        <v>2080</v>
      </c>
      <c r="C73" s="222" t="s">
        <v>2068</v>
      </c>
      <c r="D73" s="221" t="s">
        <v>1989</v>
      </c>
      <c r="E73" s="223">
        <v>28</v>
      </c>
      <c r="F73" s="223">
        <v>34</v>
      </c>
      <c r="G73" s="224">
        <v>9.33</v>
      </c>
      <c r="H73" s="223">
        <v>317</v>
      </c>
      <c r="I73" s="223">
        <v>70</v>
      </c>
      <c r="J73" s="221" t="s">
        <v>1969</v>
      </c>
      <c r="K73" s="222" t="s">
        <v>2077</v>
      </c>
    </row>
    <row r="74" spans="1:11">
      <c r="A74" s="221">
        <v>2.1121303</v>
      </c>
      <c r="B74" s="221" t="s">
        <v>2081</v>
      </c>
      <c r="C74" s="222" t="s">
        <v>2068</v>
      </c>
      <c r="D74" s="221" t="s">
        <v>1989</v>
      </c>
      <c r="E74" s="223">
        <v>28</v>
      </c>
      <c r="F74" s="223">
        <v>35</v>
      </c>
      <c r="G74" s="224">
        <v>9.33</v>
      </c>
      <c r="H74" s="223">
        <v>327</v>
      </c>
      <c r="I74" s="223">
        <v>70</v>
      </c>
      <c r="J74" s="221" t="s">
        <v>1959</v>
      </c>
      <c r="K74" s="222" t="s">
        <v>2077</v>
      </c>
    </row>
    <row r="75" spans="1:11">
      <c r="A75" s="221">
        <v>2.1121303</v>
      </c>
      <c r="B75" s="221" t="s">
        <v>2082</v>
      </c>
      <c r="C75" s="222" t="s">
        <v>2068</v>
      </c>
      <c r="D75" s="221" t="s">
        <v>1989</v>
      </c>
      <c r="E75" s="223">
        <v>28</v>
      </c>
      <c r="F75" s="223">
        <v>39</v>
      </c>
      <c r="G75" s="224">
        <v>9.33</v>
      </c>
      <c r="H75" s="223">
        <v>364</v>
      </c>
      <c r="I75" s="223">
        <v>78</v>
      </c>
      <c r="J75" s="221" t="s">
        <v>1959</v>
      </c>
      <c r="K75" s="222" t="s">
        <v>2083</v>
      </c>
    </row>
    <row r="76" spans="1:11">
      <c r="A76" s="221">
        <v>2.1121303</v>
      </c>
      <c r="B76" s="221" t="s">
        <v>2084</v>
      </c>
      <c r="C76" s="222" t="s">
        <v>2068</v>
      </c>
      <c r="D76" s="221" t="s">
        <v>1989</v>
      </c>
      <c r="E76" s="223">
        <v>28</v>
      </c>
      <c r="F76" s="223">
        <v>34</v>
      </c>
      <c r="G76" s="224">
        <v>9.33</v>
      </c>
      <c r="H76" s="223">
        <v>294</v>
      </c>
      <c r="I76" s="223">
        <v>79</v>
      </c>
      <c r="J76" s="221" t="s">
        <v>1969</v>
      </c>
      <c r="K76" s="222" t="s">
        <v>2077</v>
      </c>
    </row>
    <row r="77" spans="1:11">
      <c r="A77" s="221">
        <v>2.1127030000000002</v>
      </c>
      <c r="B77" s="221" t="s">
        <v>2085</v>
      </c>
      <c r="C77" s="222" t="s">
        <v>2068</v>
      </c>
      <c r="D77" s="221" t="s">
        <v>1989</v>
      </c>
      <c r="E77" s="223" t="s">
        <v>1958</v>
      </c>
      <c r="F77" s="223">
        <v>30</v>
      </c>
      <c r="G77" s="224">
        <v>9.33</v>
      </c>
      <c r="H77" s="223">
        <v>280</v>
      </c>
      <c r="I77" s="223">
        <v>115</v>
      </c>
      <c r="J77" s="221" t="s">
        <v>1959</v>
      </c>
      <c r="K77" s="222" t="s">
        <v>2086</v>
      </c>
    </row>
    <row r="78" spans="1:11">
      <c r="A78" s="221">
        <v>2.1211030000000002</v>
      </c>
      <c r="B78" s="221" t="s">
        <v>2087</v>
      </c>
      <c r="C78" s="222" t="s">
        <v>2088</v>
      </c>
      <c r="D78" s="221" t="s">
        <v>1989</v>
      </c>
      <c r="E78" s="223">
        <v>90</v>
      </c>
      <c r="F78" s="223">
        <v>95</v>
      </c>
      <c r="G78" s="224">
        <v>9.33</v>
      </c>
      <c r="H78" s="223">
        <v>886</v>
      </c>
      <c r="I78" s="223">
        <v>80</v>
      </c>
      <c r="J78" s="221" t="s">
        <v>1959</v>
      </c>
      <c r="K78" s="222">
        <v>0</v>
      </c>
    </row>
    <row r="79" spans="1:11">
      <c r="A79" s="221">
        <v>2.1211030000000002</v>
      </c>
      <c r="B79" s="221" t="s">
        <v>2089</v>
      </c>
      <c r="C79" s="222" t="s">
        <v>2088</v>
      </c>
      <c r="D79" s="221" t="s">
        <v>1989</v>
      </c>
      <c r="E79" s="223">
        <v>90</v>
      </c>
      <c r="F79" s="223">
        <v>92</v>
      </c>
      <c r="G79" s="224">
        <v>9.33</v>
      </c>
      <c r="H79" s="223">
        <v>858</v>
      </c>
      <c r="I79" s="223">
        <v>84</v>
      </c>
      <c r="J79" s="221" t="s">
        <v>1959</v>
      </c>
      <c r="K79" s="222">
        <v>0</v>
      </c>
    </row>
    <row r="80" spans="1:11">
      <c r="A80" s="221">
        <v>2.1211030000000002</v>
      </c>
      <c r="B80" s="221" t="s">
        <v>2090</v>
      </c>
      <c r="C80" s="222" t="s">
        <v>2088</v>
      </c>
      <c r="D80" s="221" t="s">
        <v>1989</v>
      </c>
      <c r="E80" s="223">
        <v>90</v>
      </c>
      <c r="F80" s="223">
        <v>94</v>
      </c>
      <c r="G80" s="224">
        <v>9.33</v>
      </c>
      <c r="H80" s="223">
        <v>877</v>
      </c>
      <c r="I80" s="223">
        <v>89</v>
      </c>
      <c r="J80" s="221" t="s">
        <v>1959</v>
      </c>
      <c r="K80" s="222">
        <v>0</v>
      </c>
    </row>
    <row r="81" spans="1:11">
      <c r="A81" s="221">
        <v>2.1211030000000002</v>
      </c>
      <c r="B81" s="221" t="s">
        <v>2091</v>
      </c>
      <c r="C81" s="222" t="s">
        <v>2088</v>
      </c>
      <c r="D81" s="221" t="s">
        <v>1989</v>
      </c>
      <c r="E81" s="223">
        <v>90</v>
      </c>
      <c r="F81" s="223">
        <v>97</v>
      </c>
      <c r="G81" s="224">
        <v>9.33</v>
      </c>
      <c r="H81" s="223">
        <v>905</v>
      </c>
      <c r="I81" s="223">
        <v>95</v>
      </c>
      <c r="J81" s="221" t="s">
        <v>1962</v>
      </c>
      <c r="K81" s="222">
        <v>0</v>
      </c>
    </row>
    <row r="82" spans="1:11">
      <c r="A82" s="221">
        <v>2.1211030000000002</v>
      </c>
      <c r="B82" s="221" t="s">
        <v>2092</v>
      </c>
      <c r="C82" s="222" t="s">
        <v>2088</v>
      </c>
      <c r="D82" s="221" t="s">
        <v>1989</v>
      </c>
      <c r="E82" s="223">
        <v>90</v>
      </c>
      <c r="F82" s="223">
        <v>97</v>
      </c>
      <c r="G82" s="224">
        <v>9.33</v>
      </c>
      <c r="H82" s="223">
        <v>905</v>
      </c>
      <c r="I82" s="223">
        <v>103</v>
      </c>
      <c r="J82" s="221" t="s">
        <v>1962</v>
      </c>
      <c r="K82" s="222">
        <v>0</v>
      </c>
    </row>
    <row r="83" spans="1:11">
      <c r="A83" s="221">
        <v>2.1211030000000002</v>
      </c>
      <c r="B83" s="221" t="s">
        <v>2093</v>
      </c>
      <c r="C83" s="222" t="s">
        <v>2088</v>
      </c>
      <c r="D83" s="221" t="s">
        <v>1989</v>
      </c>
      <c r="E83" s="223">
        <v>90</v>
      </c>
      <c r="F83" s="223">
        <v>103</v>
      </c>
      <c r="G83" s="224">
        <v>9.33</v>
      </c>
      <c r="H83" s="223">
        <v>961</v>
      </c>
      <c r="I83" s="223">
        <v>103</v>
      </c>
      <c r="J83" s="221" t="s">
        <v>1969</v>
      </c>
      <c r="K83" s="222">
        <v>0</v>
      </c>
    </row>
    <row r="84" spans="1:11">
      <c r="A84" s="221">
        <v>2.1221009999999998</v>
      </c>
      <c r="B84" s="221" t="s">
        <v>2094</v>
      </c>
      <c r="C84" s="222" t="s">
        <v>2068</v>
      </c>
      <c r="D84" s="221" t="s">
        <v>1989</v>
      </c>
      <c r="E84" s="223">
        <v>28</v>
      </c>
      <c r="F84" s="223">
        <v>34</v>
      </c>
      <c r="G84" s="224">
        <v>9.33</v>
      </c>
      <c r="H84" s="223">
        <v>317</v>
      </c>
      <c r="I84" s="223">
        <v>75</v>
      </c>
      <c r="J84" s="221" t="s">
        <v>1969</v>
      </c>
      <c r="K84" s="222" t="s">
        <v>2077</v>
      </c>
    </row>
    <row r="85" spans="1:11">
      <c r="A85" s="221">
        <v>2.1221009999999998</v>
      </c>
      <c r="B85" s="221" t="s">
        <v>2095</v>
      </c>
      <c r="C85" s="222" t="s">
        <v>2068</v>
      </c>
      <c r="D85" s="221" t="s">
        <v>1989</v>
      </c>
      <c r="E85" s="223">
        <v>28</v>
      </c>
      <c r="F85" s="223">
        <v>34</v>
      </c>
      <c r="G85" s="224">
        <v>9.33</v>
      </c>
      <c r="H85" s="223">
        <v>294</v>
      </c>
      <c r="I85" s="223">
        <v>79</v>
      </c>
      <c r="J85" s="221" t="s">
        <v>1959</v>
      </c>
      <c r="K85" s="222" t="s">
        <v>2077</v>
      </c>
    </row>
    <row r="86" spans="1:11">
      <c r="A86" s="221">
        <v>2.1221009999999998</v>
      </c>
      <c r="B86" s="221" t="s">
        <v>2096</v>
      </c>
      <c r="C86" s="222" t="s">
        <v>2068</v>
      </c>
      <c r="D86" s="221" t="s">
        <v>1989</v>
      </c>
      <c r="E86" s="223">
        <v>28</v>
      </c>
      <c r="F86" s="223">
        <v>38</v>
      </c>
      <c r="G86" s="224">
        <v>9.33</v>
      </c>
      <c r="H86" s="223">
        <v>355</v>
      </c>
      <c r="I86" s="223">
        <v>88</v>
      </c>
      <c r="J86" s="221" t="s">
        <v>1959</v>
      </c>
      <c r="K86" s="222" t="s">
        <v>2083</v>
      </c>
    </row>
    <row r="87" spans="1:11">
      <c r="A87" s="221">
        <v>2.1221009999999998</v>
      </c>
      <c r="B87" s="221" t="s">
        <v>2097</v>
      </c>
      <c r="C87" s="222" t="s">
        <v>2068</v>
      </c>
      <c r="D87" s="221" t="s">
        <v>1989</v>
      </c>
      <c r="E87" s="223">
        <v>28</v>
      </c>
      <c r="F87" s="223">
        <v>40</v>
      </c>
      <c r="G87" s="224">
        <v>9.33</v>
      </c>
      <c r="H87" s="223">
        <v>373</v>
      </c>
      <c r="I87" s="223">
        <v>96</v>
      </c>
      <c r="J87" s="221" t="s">
        <v>1969</v>
      </c>
      <c r="K87" s="222" t="s">
        <v>2083</v>
      </c>
    </row>
    <row r="88" spans="1:11">
      <c r="A88" s="221">
        <v>2.1221009999999998</v>
      </c>
      <c r="B88" s="221" t="s">
        <v>2098</v>
      </c>
      <c r="C88" s="222" t="s">
        <v>2068</v>
      </c>
      <c r="D88" s="221" t="s">
        <v>1989</v>
      </c>
      <c r="E88" s="223">
        <v>28</v>
      </c>
      <c r="F88" s="223">
        <v>39</v>
      </c>
      <c r="G88" s="224">
        <v>9.33</v>
      </c>
      <c r="H88" s="223">
        <v>364</v>
      </c>
      <c r="I88" s="223">
        <v>103</v>
      </c>
      <c r="J88" s="221" t="s">
        <v>1969</v>
      </c>
      <c r="K88" s="222" t="s">
        <v>2083</v>
      </c>
    </row>
    <row r="89" spans="1:11">
      <c r="A89" s="221">
        <v>2.1311010000000001</v>
      </c>
      <c r="B89" s="221" t="s">
        <v>2099</v>
      </c>
      <c r="C89" s="222" t="s">
        <v>2100</v>
      </c>
      <c r="D89" s="221" t="s">
        <v>2034</v>
      </c>
      <c r="E89" s="223">
        <v>180</v>
      </c>
      <c r="F89" s="223">
        <v>195</v>
      </c>
      <c r="G89" s="224">
        <v>9.5</v>
      </c>
      <c r="H89" s="223">
        <v>1827</v>
      </c>
      <c r="I89" s="223">
        <v>42</v>
      </c>
      <c r="J89" s="221" t="s">
        <v>1969</v>
      </c>
      <c r="K89" s="222">
        <v>0</v>
      </c>
    </row>
    <row r="90" spans="1:11">
      <c r="A90" s="221">
        <v>2.1311010000000001</v>
      </c>
      <c r="B90" s="221" t="s">
        <v>2101</v>
      </c>
      <c r="C90" s="222" t="s">
        <v>2100</v>
      </c>
      <c r="D90" s="221" t="s">
        <v>2034</v>
      </c>
      <c r="E90" s="223">
        <v>180</v>
      </c>
      <c r="F90" s="223">
        <v>195</v>
      </c>
      <c r="G90" s="224">
        <v>9.5</v>
      </c>
      <c r="H90" s="223">
        <v>1827</v>
      </c>
      <c r="I90" s="223">
        <v>42</v>
      </c>
      <c r="J90" s="221" t="s">
        <v>1959</v>
      </c>
      <c r="K90" s="222">
        <v>0</v>
      </c>
    </row>
    <row r="91" spans="1:11">
      <c r="A91" s="221">
        <v>2.1311010000000001</v>
      </c>
      <c r="B91" s="221" t="s">
        <v>2102</v>
      </c>
      <c r="C91" s="222" t="s">
        <v>2100</v>
      </c>
      <c r="D91" s="221" t="s">
        <v>2034</v>
      </c>
      <c r="E91" s="223">
        <v>180</v>
      </c>
      <c r="F91" s="223">
        <v>192</v>
      </c>
      <c r="G91" s="224">
        <v>9.5</v>
      </c>
      <c r="H91" s="223">
        <v>1802</v>
      </c>
      <c r="I91" s="223">
        <v>53</v>
      </c>
      <c r="J91" s="221" t="s">
        <v>1969</v>
      </c>
      <c r="K91" s="222">
        <v>0</v>
      </c>
    </row>
    <row r="92" spans="1:11">
      <c r="A92" s="221">
        <v>2.1311010000000001</v>
      </c>
      <c r="B92" s="221" t="s">
        <v>2103</v>
      </c>
      <c r="C92" s="222" t="s">
        <v>2100</v>
      </c>
      <c r="D92" s="221" t="s">
        <v>2034</v>
      </c>
      <c r="E92" s="223">
        <v>180</v>
      </c>
      <c r="F92" s="223">
        <v>192</v>
      </c>
      <c r="G92" s="224">
        <v>9.5</v>
      </c>
      <c r="H92" s="223">
        <v>1802</v>
      </c>
      <c r="I92" s="223">
        <v>53</v>
      </c>
      <c r="J92" s="221" t="s">
        <v>1959</v>
      </c>
      <c r="K92" s="222">
        <v>0</v>
      </c>
    </row>
    <row r="93" spans="1:11">
      <c r="A93" s="221">
        <v>2.1311010000000001</v>
      </c>
      <c r="B93" s="221" t="s">
        <v>2104</v>
      </c>
      <c r="C93" s="222" t="s">
        <v>2100</v>
      </c>
      <c r="D93" s="221" t="s">
        <v>2034</v>
      </c>
      <c r="E93" s="223">
        <v>180</v>
      </c>
      <c r="F93" s="223">
        <v>186</v>
      </c>
      <c r="G93" s="224">
        <v>9.5</v>
      </c>
      <c r="H93" s="223">
        <v>1755</v>
      </c>
      <c r="I93" s="223">
        <v>65</v>
      </c>
      <c r="J93" s="221" t="s">
        <v>1969</v>
      </c>
      <c r="K93" s="222">
        <v>0</v>
      </c>
    </row>
    <row r="94" spans="1:11">
      <c r="A94" s="221">
        <v>2.1311010000000001</v>
      </c>
      <c r="B94" s="221" t="s">
        <v>2105</v>
      </c>
      <c r="C94" s="222" t="s">
        <v>2100</v>
      </c>
      <c r="D94" s="221" t="s">
        <v>2034</v>
      </c>
      <c r="E94" s="223">
        <v>180</v>
      </c>
      <c r="F94" s="223">
        <v>186</v>
      </c>
      <c r="G94" s="224">
        <v>9.5</v>
      </c>
      <c r="H94" s="223">
        <v>1755</v>
      </c>
      <c r="I94" s="223">
        <v>65</v>
      </c>
      <c r="J94" s="221" t="s">
        <v>1959</v>
      </c>
      <c r="K94" s="222">
        <v>0</v>
      </c>
    </row>
    <row r="95" spans="1:11">
      <c r="A95" s="221">
        <v>2.1311010000000001</v>
      </c>
      <c r="B95" s="221" t="s">
        <v>2106</v>
      </c>
      <c r="C95" s="222" t="s">
        <v>2100</v>
      </c>
      <c r="D95" s="221" t="s">
        <v>2034</v>
      </c>
      <c r="E95" s="223">
        <v>180</v>
      </c>
      <c r="F95" s="223">
        <v>220</v>
      </c>
      <c r="G95" s="224">
        <v>9.5</v>
      </c>
      <c r="H95" s="223">
        <v>2162</v>
      </c>
      <c r="I95" s="223">
        <v>65</v>
      </c>
      <c r="J95" s="221" t="s">
        <v>1959</v>
      </c>
      <c r="K95" s="222">
        <v>0</v>
      </c>
    </row>
    <row r="96" spans="1:11">
      <c r="A96" s="221">
        <v>2.1311010000000001</v>
      </c>
      <c r="B96" s="221" t="s">
        <v>2107</v>
      </c>
      <c r="C96" s="222" t="s">
        <v>2100</v>
      </c>
      <c r="D96" s="221" t="s">
        <v>2034</v>
      </c>
      <c r="E96" s="223">
        <v>180</v>
      </c>
      <c r="F96" s="223">
        <v>227</v>
      </c>
      <c r="G96" s="224">
        <v>9.5</v>
      </c>
      <c r="H96" s="223">
        <v>2062</v>
      </c>
      <c r="I96" s="223">
        <v>76</v>
      </c>
      <c r="J96" s="221" t="s">
        <v>1962</v>
      </c>
      <c r="K96" s="222">
        <v>0</v>
      </c>
    </row>
    <row r="97" spans="1:11">
      <c r="A97" s="221">
        <v>2.1311010000000001</v>
      </c>
      <c r="B97" s="221" t="s">
        <v>2108</v>
      </c>
      <c r="C97" s="222" t="s">
        <v>2100</v>
      </c>
      <c r="D97" s="221" t="s">
        <v>2034</v>
      </c>
      <c r="E97" s="223">
        <v>180</v>
      </c>
      <c r="F97" s="223">
        <v>232</v>
      </c>
      <c r="G97" s="224">
        <v>9.5</v>
      </c>
      <c r="H97" s="223">
        <v>2156</v>
      </c>
      <c r="I97" s="223">
        <v>78</v>
      </c>
      <c r="J97" s="221" t="s">
        <v>1959</v>
      </c>
      <c r="K97" s="222">
        <v>0</v>
      </c>
    </row>
    <row r="98" spans="1:11">
      <c r="A98" s="221">
        <v>2.1311010000000001</v>
      </c>
      <c r="B98" s="221" t="s">
        <v>2109</v>
      </c>
      <c r="C98" s="222" t="s">
        <v>2100</v>
      </c>
      <c r="D98" s="221" t="s">
        <v>2034</v>
      </c>
      <c r="E98" s="223">
        <v>180</v>
      </c>
      <c r="F98" s="223">
        <v>196</v>
      </c>
      <c r="G98" s="224">
        <v>9.5</v>
      </c>
      <c r="H98" s="223">
        <v>1841</v>
      </c>
      <c r="I98" s="223">
        <v>85</v>
      </c>
      <c r="J98" s="221" t="s">
        <v>1959</v>
      </c>
      <c r="K98" s="222">
        <v>0</v>
      </c>
    </row>
    <row r="99" spans="1:11">
      <c r="A99" s="221">
        <v>2.1311010000000001</v>
      </c>
      <c r="B99" s="221" t="s">
        <v>2110</v>
      </c>
      <c r="C99" s="222" t="s">
        <v>2111</v>
      </c>
      <c r="D99" s="221" t="s">
        <v>1974</v>
      </c>
      <c r="E99" s="223">
        <v>120</v>
      </c>
      <c r="F99" s="223">
        <v>155</v>
      </c>
      <c r="G99" s="224">
        <v>9.17</v>
      </c>
      <c r="H99" s="223">
        <v>1675</v>
      </c>
      <c r="I99" s="223">
        <v>42</v>
      </c>
      <c r="J99" s="221" t="s">
        <v>1969</v>
      </c>
      <c r="K99" s="222">
        <v>0</v>
      </c>
    </row>
    <row r="100" spans="1:11">
      <c r="A100" s="221">
        <v>2.1311010000000001</v>
      </c>
      <c r="B100" s="221" t="s">
        <v>2112</v>
      </c>
      <c r="C100" s="222" t="s">
        <v>2111</v>
      </c>
      <c r="D100" s="221" t="s">
        <v>1974</v>
      </c>
      <c r="E100" s="223">
        <v>120</v>
      </c>
      <c r="F100" s="223">
        <v>155</v>
      </c>
      <c r="G100" s="224">
        <v>9.17</v>
      </c>
      <c r="H100" s="223">
        <v>1675</v>
      </c>
      <c r="I100" s="223">
        <v>42</v>
      </c>
      <c r="J100" s="221" t="s">
        <v>1959</v>
      </c>
      <c r="K100" s="222">
        <v>0</v>
      </c>
    </row>
    <row r="101" spans="1:11">
      <c r="A101" s="221">
        <v>2.1311010000000001</v>
      </c>
      <c r="B101" s="221" t="s">
        <v>2113</v>
      </c>
      <c r="C101" s="222" t="s">
        <v>2111</v>
      </c>
      <c r="D101" s="221" t="s">
        <v>1974</v>
      </c>
      <c r="E101" s="223">
        <v>120</v>
      </c>
      <c r="F101" s="223">
        <v>130</v>
      </c>
      <c r="G101" s="224">
        <v>9.17</v>
      </c>
      <c r="H101" s="223">
        <v>1291</v>
      </c>
      <c r="I101" s="223">
        <v>50</v>
      </c>
      <c r="J101" s="221" t="s">
        <v>1969</v>
      </c>
      <c r="K101" s="222">
        <v>0</v>
      </c>
    </row>
    <row r="102" spans="1:11">
      <c r="A102" s="221">
        <v>2.1311010000000001</v>
      </c>
      <c r="B102" s="221" t="s">
        <v>2114</v>
      </c>
      <c r="C102" s="222" t="s">
        <v>2111</v>
      </c>
      <c r="D102" s="221" t="s">
        <v>1974</v>
      </c>
      <c r="E102" s="223">
        <v>120</v>
      </c>
      <c r="F102" s="223">
        <v>130</v>
      </c>
      <c r="G102" s="224">
        <v>9.17</v>
      </c>
      <c r="H102" s="223">
        <v>1291</v>
      </c>
      <c r="I102" s="223">
        <v>50</v>
      </c>
      <c r="J102" s="221" t="s">
        <v>1959</v>
      </c>
      <c r="K102" s="222">
        <v>0</v>
      </c>
    </row>
    <row r="103" spans="1:11">
      <c r="A103" s="221">
        <v>2.1311010000000001</v>
      </c>
      <c r="B103" s="221" t="s">
        <v>2115</v>
      </c>
      <c r="C103" s="222" t="s">
        <v>2100</v>
      </c>
      <c r="D103" s="221" t="s">
        <v>1974</v>
      </c>
      <c r="E103" s="223">
        <v>180</v>
      </c>
      <c r="F103" s="223">
        <v>259</v>
      </c>
      <c r="G103" s="224">
        <v>9.17</v>
      </c>
      <c r="H103" s="223">
        <v>2552</v>
      </c>
      <c r="I103" s="223">
        <v>58</v>
      </c>
      <c r="J103" s="221" t="s">
        <v>1969</v>
      </c>
      <c r="K103" s="222">
        <v>0</v>
      </c>
    </row>
    <row r="104" spans="1:11">
      <c r="A104" s="221">
        <v>2.1311010000000001</v>
      </c>
      <c r="B104" s="221" t="s">
        <v>2116</v>
      </c>
      <c r="C104" s="222" t="s">
        <v>2100</v>
      </c>
      <c r="D104" s="221" t="s">
        <v>1974</v>
      </c>
      <c r="E104" s="223">
        <v>180</v>
      </c>
      <c r="F104" s="223">
        <v>259</v>
      </c>
      <c r="G104" s="224">
        <v>9.17</v>
      </c>
      <c r="H104" s="223">
        <v>2552</v>
      </c>
      <c r="I104" s="223">
        <v>58</v>
      </c>
      <c r="J104" s="221" t="s">
        <v>1959</v>
      </c>
      <c r="K104" s="222">
        <v>0</v>
      </c>
    </row>
    <row r="105" spans="1:11">
      <c r="A105" s="221">
        <v>2.132101</v>
      </c>
      <c r="B105" s="221" t="s">
        <v>2117</v>
      </c>
      <c r="C105" s="222" t="s">
        <v>2068</v>
      </c>
      <c r="D105" s="221" t="s">
        <v>397</v>
      </c>
      <c r="E105" s="223" t="s">
        <v>1958</v>
      </c>
      <c r="F105" s="223">
        <v>31</v>
      </c>
      <c r="G105" s="224">
        <v>9.58</v>
      </c>
      <c r="H105" s="223">
        <v>297</v>
      </c>
      <c r="I105" s="223">
        <v>59</v>
      </c>
      <c r="J105" s="221" t="s">
        <v>1969</v>
      </c>
      <c r="K105" s="222" t="s">
        <v>2118</v>
      </c>
    </row>
    <row r="106" spans="1:11">
      <c r="A106" s="221">
        <v>2.132101</v>
      </c>
      <c r="B106" s="221" t="s">
        <v>2119</v>
      </c>
      <c r="C106" s="222" t="s">
        <v>2068</v>
      </c>
      <c r="D106" s="221" t="s">
        <v>397</v>
      </c>
      <c r="E106" s="223" t="s">
        <v>1958</v>
      </c>
      <c r="F106" s="223">
        <v>34</v>
      </c>
      <c r="G106" s="224">
        <v>9.58</v>
      </c>
      <c r="H106" s="223">
        <v>326</v>
      </c>
      <c r="I106" s="223">
        <v>104</v>
      </c>
      <c r="J106" s="221" t="s">
        <v>1959</v>
      </c>
      <c r="K106" s="222" t="s">
        <v>2120</v>
      </c>
    </row>
    <row r="107" spans="1:11">
      <c r="A107" s="221">
        <v>2.132101</v>
      </c>
      <c r="B107" s="221" t="s">
        <v>2121</v>
      </c>
      <c r="C107" s="222" t="s">
        <v>2068</v>
      </c>
      <c r="D107" s="221" t="s">
        <v>2034</v>
      </c>
      <c r="E107" s="223">
        <v>28</v>
      </c>
      <c r="F107" s="223">
        <v>29</v>
      </c>
      <c r="G107" s="224">
        <v>9.5</v>
      </c>
      <c r="H107" s="223">
        <v>446</v>
      </c>
      <c r="I107" s="223">
        <v>26</v>
      </c>
      <c r="J107" s="221" t="s">
        <v>1969</v>
      </c>
      <c r="K107" s="222">
        <v>0</v>
      </c>
    </row>
    <row r="108" spans="1:11">
      <c r="A108" s="221">
        <v>2.132101</v>
      </c>
      <c r="B108" s="221" t="s">
        <v>2122</v>
      </c>
      <c r="C108" s="222" t="s">
        <v>2068</v>
      </c>
      <c r="D108" s="221" t="s">
        <v>2034</v>
      </c>
      <c r="E108" s="223">
        <v>28</v>
      </c>
      <c r="F108" s="223">
        <v>41</v>
      </c>
      <c r="G108" s="224">
        <v>9.5</v>
      </c>
      <c r="H108" s="223">
        <v>386</v>
      </c>
      <c r="I108" s="223">
        <v>48</v>
      </c>
      <c r="J108" s="221" t="s">
        <v>1969</v>
      </c>
      <c r="K108" s="222" t="s">
        <v>2123</v>
      </c>
    </row>
    <row r="109" spans="1:11">
      <c r="A109" s="221">
        <v>2.132101</v>
      </c>
      <c r="B109" s="221" t="s">
        <v>2124</v>
      </c>
      <c r="C109" s="222" t="s">
        <v>2068</v>
      </c>
      <c r="D109" s="221" t="s">
        <v>2034</v>
      </c>
      <c r="E109" s="223">
        <v>28</v>
      </c>
      <c r="F109" s="223">
        <v>41</v>
      </c>
      <c r="G109" s="224">
        <v>9.5</v>
      </c>
      <c r="H109" s="223">
        <v>386</v>
      </c>
      <c r="I109" s="223">
        <v>48</v>
      </c>
      <c r="J109" s="221" t="s">
        <v>1959</v>
      </c>
      <c r="K109" s="222" t="s">
        <v>2123</v>
      </c>
    </row>
    <row r="110" spans="1:11">
      <c r="A110" s="221">
        <v>2.132101</v>
      </c>
      <c r="B110" s="221" t="s">
        <v>2125</v>
      </c>
      <c r="C110" s="222" t="s">
        <v>2068</v>
      </c>
      <c r="D110" s="221" t="s">
        <v>2034</v>
      </c>
      <c r="E110" s="223">
        <v>28</v>
      </c>
      <c r="F110" s="223">
        <v>41</v>
      </c>
      <c r="G110" s="224">
        <v>9.5</v>
      </c>
      <c r="H110" s="223">
        <v>375</v>
      </c>
      <c r="I110" s="223">
        <v>53</v>
      </c>
      <c r="J110" s="221" t="s">
        <v>1969</v>
      </c>
      <c r="K110" s="222" t="s">
        <v>2123</v>
      </c>
    </row>
    <row r="111" spans="1:11">
      <c r="A111" s="221">
        <v>2.132101</v>
      </c>
      <c r="B111" s="221" t="s">
        <v>2126</v>
      </c>
      <c r="C111" s="222" t="s">
        <v>2068</v>
      </c>
      <c r="D111" s="221" t="s">
        <v>2034</v>
      </c>
      <c r="E111" s="223">
        <v>28</v>
      </c>
      <c r="F111" s="223">
        <v>41</v>
      </c>
      <c r="G111" s="224">
        <v>9.5</v>
      </c>
      <c r="H111" s="223">
        <v>375</v>
      </c>
      <c r="I111" s="223">
        <v>53</v>
      </c>
      <c r="J111" s="221" t="s">
        <v>1959</v>
      </c>
      <c r="K111" s="222" t="s">
        <v>2123</v>
      </c>
    </row>
    <row r="112" spans="1:11">
      <c r="A112" s="221">
        <v>2.132101</v>
      </c>
      <c r="B112" s="221" t="s">
        <v>2127</v>
      </c>
      <c r="C112" s="222" t="s">
        <v>2068</v>
      </c>
      <c r="D112" s="221" t="s">
        <v>2034</v>
      </c>
      <c r="E112" s="223">
        <v>28</v>
      </c>
      <c r="F112" s="223">
        <v>39</v>
      </c>
      <c r="G112" s="224">
        <v>9.5</v>
      </c>
      <c r="H112" s="223">
        <v>371</v>
      </c>
      <c r="I112" s="223">
        <v>65</v>
      </c>
      <c r="J112" s="221" t="s">
        <v>1959</v>
      </c>
      <c r="K112" s="222" t="s">
        <v>2123</v>
      </c>
    </row>
    <row r="113" spans="1:11">
      <c r="A113" s="221">
        <v>2.132101</v>
      </c>
      <c r="B113" s="221" t="s">
        <v>2128</v>
      </c>
      <c r="C113" s="222" t="s">
        <v>2068</v>
      </c>
      <c r="D113" s="221" t="s">
        <v>2034</v>
      </c>
      <c r="E113" s="223">
        <v>28</v>
      </c>
      <c r="F113" s="223">
        <v>40</v>
      </c>
      <c r="G113" s="224">
        <v>9.5</v>
      </c>
      <c r="H113" s="223">
        <v>382</v>
      </c>
      <c r="I113" s="223">
        <v>71</v>
      </c>
      <c r="J113" s="221" t="s">
        <v>1969</v>
      </c>
      <c r="K113" s="222" t="s">
        <v>2123</v>
      </c>
    </row>
    <row r="114" spans="1:11">
      <c r="A114" s="221">
        <v>2.132101</v>
      </c>
      <c r="B114" s="221" t="s">
        <v>2129</v>
      </c>
      <c r="C114" s="222" t="s">
        <v>2068</v>
      </c>
      <c r="D114" s="221" t="s">
        <v>2034</v>
      </c>
      <c r="E114" s="223">
        <v>28</v>
      </c>
      <c r="F114" s="223">
        <v>40</v>
      </c>
      <c r="G114" s="224">
        <v>9.5</v>
      </c>
      <c r="H114" s="223">
        <v>382</v>
      </c>
      <c r="I114" s="223">
        <v>71</v>
      </c>
      <c r="J114" s="221" t="s">
        <v>1959</v>
      </c>
      <c r="K114" s="222" t="s">
        <v>2123</v>
      </c>
    </row>
    <row r="115" spans="1:11">
      <c r="A115" s="221">
        <v>2.132101</v>
      </c>
      <c r="B115" s="221" t="s">
        <v>2130</v>
      </c>
      <c r="C115" s="222" t="s">
        <v>2068</v>
      </c>
      <c r="D115" s="221" t="s">
        <v>2034</v>
      </c>
      <c r="E115" s="223">
        <v>28</v>
      </c>
      <c r="F115" s="223">
        <v>35</v>
      </c>
      <c r="G115" s="224">
        <v>9.5</v>
      </c>
      <c r="H115" s="223">
        <v>348</v>
      </c>
      <c r="I115" s="223">
        <v>76</v>
      </c>
      <c r="J115" s="221" t="s">
        <v>1969</v>
      </c>
      <c r="K115" s="222" t="s">
        <v>2123</v>
      </c>
    </row>
    <row r="116" spans="1:11">
      <c r="A116" s="221">
        <v>2.132101</v>
      </c>
      <c r="B116" s="221" t="s">
        <v>2131</v>
      </c>
      <c r="C116" s="222" t="s">
        <v>2068</v>
      </c>
      <c r="D116" s="221" t="s">
        <v>2034</v>
      </c>
      <c r="E116" s="223">
        <v>28</v>
      </c>
      <c r="F116" s="223">
        <v>42</v>
      </c>
      <c r="G116" s="224">
        <v>9.5</v>
      </c>
      <c r="H116" s="223">
        <v>379</v>
      </c>
      <c r="I116" s="223">
        <v>85</v>
      </c>
      <c r="J116" s="221" t="s">
        <v>1959</v>
      </c>
      <c r="K116" s="222" t="s">
        <v>2123</v>
      </c>
    </row>
    <row r="117" spans="1:11">
      <c r="A117" s="221">
        <v>2.132101</v>
      </c>
      <c r="B117" s="221" t="s">
        <v>2132</v>
      </c>
      <c r="C117" s="222" t="s">
        <v>2068</v>
      </c>
      <c r="D117" s="221" t="s">
        <v>2034</v>
      </c>
      <c r="E117" s="223">
        <v>28</v>
      </c>
      <c r="F117" s="223">
        <v>35</v>
      </c>
      <c r="G117" s="224">
        <v>9.5</v>
      </c>
      <c r="H117" s="223">
        <v>332</v>
      </c>
      <c r="I117" s="223">
        <v>90</v>
      </c>
      <c r="J117" s="221" t="s">
        <v>1959</v>
      </c>
      <c r="K117" s="222" t="s">
        <v>2123</v>
      </c>
    </row>
    <row r="118" spans="1:11">
      <c r="A118" s="221">
        <v>2.132101</v>
      </c>
      <c r="B118" s="221" t="s">
        <v>2133</v>
      </c>
      <c r="C118" s="222" t="s">
        <v>2068</v>
      </c>
      <c r="D118" s="221" t="s">
        <v>2034</v>
      </c>
      <c r="E118" s="223" t="s">
        <v>1958</v>
      </c>
      <c r="F118" s="223">
        <v>34</v>
      </c>
      <c r="G118" s="224">
        <v>9.5</v>
      </c>
      <c r="H118" s="223">
        <v>312</v>
      </c>
      <c r="I118" s="223">
        <v>159</v>
      </c>
      <c r="J118" s="221" t="s">
        <v>1969</v>
      </c>
      <c r="K118" s="222" t="s">
        <v>2123</v>
      </c>
    </row>
    <row r="119" spans="1:11">
      <c r="A119" s="221">
        <v>2.132101</v>
      </c>
      <c r="B119" s="221" t="s">
        <v>2134</v>
      </c>
      <c r="C119" s="222" t="s">
        <v>2068</v>
      </c>
      <c r="D119" s="221" t="s">
        <v>1974</v>
      </c>
      <c r="E119" s="223">
        <v>28</v>
      </c>
      <c r="F119" s="223">
        <v>41</v>
      </c>
      <c r="G119" s="224">
        <v>9.17</v>
      </c>
      <c r="H119" s="223">
        <v>380</v>
      </c>
      <c r="I119" s="223">
        <v>42</v>
      </c>
      <c r="J119" s="221" t="s">
        <v>1969</v>
      </c>
      <c r="K119" s="222" t="s">
        <v>2123</v>
      </c>
    </row>
    <row r="120" spans="1:11">
      <c r="A120" s="221">
        <v>2.132101</v>
      </c>
      <c r="B120" s="221" t="s">
        <v>2135</v>
      </c>
      <c r="C120" s="222" t="s">
        <v>2068</v>
      </c>
      <c r="D120" s="221" t="s">
        <v>1974</v>
      </c>
      <c r="E120" s="223">
        <v>28</v>
      </c>
      <c r="F120" s="223">
        <v>41</v>
      </c>
      <c r="G120" s="224">
        <v>9.17</v>
      </c>
      <c r="H120" s="223">
        <v>380</v>
      </c>
      <c r="I120" s="223">
        <v>42</v>
      </c>
      <c r="J120" s="221" t="s">
        <v>1959</v>
      </c>
      <c r="K120" s="222" t="s">
        <v>2123</v>
      </c>
    </row>
    <row r="121" spans="1:11">
      <c r="A121" s="221">
        <v>2.132101</v>
      </c>
      <c r="B121" s="221" t="s">
        <v>2136</v>
      </c>
      <c r="C121" s="222" t="s">
        <v>2068</v>
      </c>
      <c r="D121" s="221" t="s">
        <v>1974</v>
      </c>
      <c r="E121" s="223">
        <v>28</v>
      </c>
      <c r="F121" s="223">
        <v>34</v>
      </c>
      <c r="G121" s="224">
        <v>9.17</v>
      </c>
      <c r="H121" s="223">
        <v>321</v>
      </c>
      <c r="I121" s="223">
        <v>53</v>
      </c>
      <c r="J121" s="221" t="s">
        <v>1969</v>
      </c>
      <c r="K121" s="222" t="s">
        <v>2123</v>
      </c>
    </row>
    <row r="122" spans="1:11">
      <c r="A122" s="221">
        <v>2.132101</v>
      </c>
      <c r="B122" s="221" t="s">
        <v>2137</v>
      </c>
      <c r="C122" s="222" t="s">
        <v>2068</v>
      </c>
      <c r="D122" s="221" t="s">
        <v>1974</v>
      </c>
      <c r="E122" s="223">
        <v>28</v>
      </c>
      <c r="F122" s="223">
        <v>34</v>
      </c>
      <c r="G122" s="224">
        <v>9.17</v>
      </c>
      <c r="H122" s="223">
        <v>321</v>
      </c>
      <c r="I122" s="223">
        <v>53</v>
      </c>
      <c r="J122" s="221" t="s">
        <v>1959</v>
      </c>
      <c r="K122" s="222" t="s">
        <v>2123</v>
      </c>
    </row>
    <row r="123" spans="1:11">
      <c r="A123" s="221">
        <v>2.132101</v>
      </c>
      <c r="B123" s="221" t="s">
        <v>2138</v>
      </c>
      <c r="C123" s="222" t="s">
        <v>2068</v>
      </c>
      <c r="D123" s="221" t="s">
        <v>1974</v>
      </c>
      <c r="E123" s="223">
        <v>28</v>
      </c>
      <c r="F123" s="223">
        <v>36</v>
      </c>
      <c r="G123" s="224">
        <v>9.17</v>
      </c>
      <c r="H123" s="223">
        <v>317</v>
      </c>
      <c r="I123" s="223">
        <v>60</v>
      </c>
      <c r="J123" s="221" t="s">
        <v>1969</v>
      </c>
      <c r="K123" s="222" t="s">
        <v>2123</v>
      </c>
    </row>
    <row r="124" spans="1:11">
      <c r="A124" s="221">
        <v>2.132101</v>
      </c>
      <c r="B124" s="221" t="s">
        <v>2139</v>
      </c>
      <c r="C124" s="222" t="s">
        <v>2068</v>
      </c>
      <c r="D124" s="221" t="s">
        <v>1974</v>
      </c>
      <c r="E124" s="223">
        <v>28</v>
      </c>
      <c r="F124" s="223">
        <v>36</v>
      </c>
      <c r="G124" s="224">
        <v>9.17</v>
      </c>
      <c r="H124" s="223">
        <v>317</v>
      </c>
      <c r="I124" s="223">
        <v>60</v>
      </c>
      <c r="J124" s="221" t="s">
        <v>1959</v>
      </c>
      <c r="K124" s="222" t="s">
        <v>2123</v>
      </c>
    </row>
    <row r="125" spans="1:11">
      <c r="A125" s="221">
        <v>2.132101</v>
      </c>
      <c r="B125" s="221" t="s">
        <v>2140</v>
      </c>
      <c r="C125" s="222" t="s">
        <v>2068</v>
      </c>
      <c r="D125" s="221" t="s">
        <v>1974</v>
      </c>
      <c r="E125" s="223" t="s">
        <v>1958</v>
      </c>
      <c r="F125" s="223">
        <v>23</v>
      </c>
      <c r="G125" s="224">
        <v>9.4700000000000006</v>
      </c>
      <c r="H125" s="223">
        <v>230</v>
      </c>
      <c r="I125" s="223">
        <v>148</v>
      </c>
      <c r="J125" s="221" t="s">
        <v>1969</v>
      </c>
      <c r="K125" s="222">
        <v>0</v>
      </c>
    </row>
    <row r="126" spans="1:11">
      <c r="A126" s="221">
        <v>2.1321020000000002</v>
      </c>
      <c r="B126" s="221" t="s">
        <v>2141</v>
      </c>
      <c r="C126" s="222" t="s">
        <v>2068</v>
      </c>
      <c r="D126" s="221" t="s">
        <v>1957</v>
      </c>
      <c r="E126" s="223" t="s">
        <v>1958</v>
      </c>
      <c r="F126" s="223">
        <v>42</v>
      </c>
      <c r="G126" s="224">
        <v>9.8332999999999995</v>
      </c>
      <c r="H126" s="223">
        <v>413</v>
      </c>
      <c r="I126" s="223">
        <v>93</v>
      </c>
      <c r="J126" s="221" t="s">
        <v>1969</v>
      </c>
      <c r="K126" s="222">
        <v>0</v>
      </c>
    </row>
    <row r="127" spans="1:11">
      <c r="A127" s="221">
        <v>2.13306</v>
      </c>
      <c r="B127" s="221" t="s">
        <v>2142</v>
      </c>
      <c r="C127" s="222" t="s">
        <v>2143</v>
      </c>
      <c r="D127" s="221" t="s">
        <v>2034</v>
      </c>
      <c r="E127" s="223">
        <v>200</v>
      </c>
      <c r="F127" s="223">
        <v>283</v>
      </c>
      <c r="G127" s="224">
        <v>9.5</v>
      </c>
      <c r="H127" s="223">
        <v>2175</v>
      </c>
      <c r="I127" s="223">
        <v>33</v>
      </c>
      <c r="J127" s="221" t="s">
        <v>1962</v>
      </c>
      <c r="K127" s="222">
        <v>0</v>
      </c>
    </row>
    <row r="128" spans="1:11">
      <c r="A128" s="221">
        <v>2.13306</v>
      </c>
      <c r="B128" s="221" t="s">
        <v>2144</v>
      </c>
      <c r="C128" s="222" t="s">
        <v>2145</v>
      </c>
      <c r="D128" s="221" t="s">
        <v>2034</v>
      </c>
      <c r="E128" s="223" t="s">
        <v>1958</v>
      </c>
      <c r="F128" s="223">
        <v>284</v>
      </c>
      <c r="G128" s="224">
        <v>9.5</v>
      </c>
      <c r="H128" s="223">
        <v>2704</v>
      </c>
      <c r="I128" s="223">
        <v>144</v>
      </c>
      <c r="J128" s="221" t="s">
        <v>1969</v>
      </c>
      <c r="K128" s="222">
        <v>0</v>
      </c>
    </row>
    <row r="129" spans="1:11">
      <c r="A129" s="221">
        <v>2.1400199999999998</v>
      </c>
      <c r="B129" s="221" t="s">
        <v>2146</v>
      </c>
      <c r="C129" s="222" t="s">
        <v>2068</v>
      </c>
      <c r="D129" s="221" t="s">
        <v>1985</v>
      </c>
      <c r="E129" s="223" t="s">
        <v>1958</v>
      </c>
      <c r="F129" s="223">
        <v>36</v>
      </c>
      <c r="G129" s="224">
        <v>9.83</v>
      </c>
      <c r="H129" s="223">
        <v>354</v>
      </c>
      <c r="I129" s="223">
        <v>71</v>
      </c>
      <c r="J129" s="221" t="s">
        <v>1969</v>
      </c>
      <c r="K129" s="222" t="s">
        <v>2147</v>
      </c>
    </row>
    <row r="130" spans="1:11">
      <c r="A130" s="221">
        <v>2.1530100000000001</v>
      </c>
      <c r="B130" s="221" t="s">
        <v>2148</v>
      </c>
      <c r="C130" s="222" t="s">
        <v>2149</v>
      </c>
      <c r="D130" s="221" t="s">
        <v>1974</v>
      </c>
      <c r="E130" s="223" t="s">
        <v>1958</v>
      </c>
      <c r="F130" s="223">
        <v>917</v>
      </c>
      <c r="G130" s="224">
        <v>9.17</v>
      </c>
      <c r="H130" s="223">
        <v>10338</v>
      </c>
      <c r="I130" s="223">
        <v>21</v>
      </c>
      <c r="J130" s="221" t="s">
        <v>1962</v>
      </c>
      <c r="K130" s="222">
        <v>0</v>
      </c>
    </row>
    <row r="131" spans="1:11">
      <c r="A131" s="221">
        <v>2.1600100000000002</v>
      </c>
      <c r="B131" s="221" t="s">
        <v>2150</v>
      </c>
      <c r="C131" s="222" t="s">
        <v>2151</v>
      </c>
      <c r="D131" s="221" t="s">
        <v>397</v>
      </c>
      <c r="E131" s="223" t="s">
        <v>1958</v>
      </c>
      <c r="F131" s="223">
        <v>24</v>
      </c>
      <c r="G131" s="224">
        <v>9.58</v>
      </c>
      <c r="H131" s="223">
        <v>230</v>
      </c>
      <c r="I131" s="223">
        <v>66</v>
      </c>
      <c r="J131" s="221" t="s">
        <v>1969</v>
      </c>
      <c r="K131" s="222">
        <v>0</v>
      </c>
    </row>
    <row r="132" spans="1:11">
      <c r="A132" s="221">
        <v>2.1600100000000002</v>
      </c>
      <c r="B132" s="221" t="s">
        <v>2152</v>
      </c>
      <c r="C132" s="222" t="s">
        <v>2153</v>
      </c>
      <c r="D132" s="221" t="s">
        <v>397</v>
      </c>
      <c r="E132" s="223" t="s">
        <v>1958</v>
      </c>
      <c r="F132" s="223">
        <v>482</v>
      </c>
      <c r="G132" s="224">
        <v>9.58</v>
      </c>
      <c r="H132" s="223">
        <v>4618</v>
      </c>
      <c r="I132" s="223">
        <v>68</v>
      </c>
      <c r="J132" s="221" t="s">
        <v>1962</v>
      </c>
      <c r="K132" s="222">
        <v>0</v>
      </c>
    </row>
    <row r="133" spans="1:11">
      <c r="A133" s="221">
        <v>2.1600100000000002</v>
      </c>
      <c r="B133" s="221" t="s">
        <v>2154</v>
      </c>
      <c r="C133" s="222" t="s">
        <v>2155</v>
      </c>
      <c r="D133" s="221" t="s">
        <v>397</v>
      </c>
      <c r="E133" s="223" t="s">
        <v>1958</v>
      </c>
      <c r="F133" s="223">
        <v>19</v>
      </c>
      <c r="G133" s="224">
        <v>9.58</v>
      </c>
      <c r="H133" s="223">
        <v>182</v>
      </c>
      <c r="I133" s="223">
        <v>69</v>
      </c>
      <c r="J133" s="221" t="s">
        <v>1969</v>
      </c>
      <c r="K133" s="222">
        <v>0</v>
      </c>
    </row>
    <row r="134" spans="1:11">
      <c r="A134" s="221">
        <v>2.2110300000000001</v>
      </c>
      <c r="B134" s="221" t="s">
        <v>2156</v>
      </c>
      <c r="C134" s="222" t="s">
        <v>2157</v>
      </c>
      <c r="D134" s="221" t="s">
        <v>2034</v>
      </c>
      <c r="E134" s="223">
        <v>366</v>
      </c>
      <c r="F134" s="223">
        <v>636</v>
      </c>
      <c r="G134" s="224">
        <v>9.5</v>
      </c>
      <c r="H134" s="223">
        <v>6030</v>
      </c>
      <c r="I134" s="223">
        <v>65</v>
      </c>
      <c r="J134" s="221" t="s">
        <v>1969</v>
      </c>
      <c r="K134" s="222">
        <v>0</v>
      </c>
    </row>
    <row r="135" spans="1:11">
      <c r="A135" s="221">
        <v>2.2120099999999998</v>
      </c>
      <c r="B135" s="221" t="s">
        <v>2158</v>
      </c>
      <c r="C135" s="222" t="s">
        <v>2159</v>
      </c>
      <c r="D135" s="221" t="s">
        <v>2034</v>
      </c>
      <c r="E135" s="223">
        <v>100</v>
      </c>
      <c r="F135" s="223">
        <v>558</v>
      </c>
      <c r="G135" s="224">
        <v>9.5</v>
      </c>
      <c r="H135" s="223">
        <v>5520</v>
      </c>
      <c r="I135" s="223">
        <v>95</v>
      </c>
      <c r="J135" s="221" t="s">
        <v>1959</v>
      </c>
      <c r="K135" s="222">
        <v>0</v>
      </c>
    </row>
    <row r="136" spans="1:11">
      <c r="A136" s="221">
        <v>2.21305</v>
      </c>
      <c r="B136" s="221" t="s">
        <v>2160</v>
      </c>
      <c r="C136" s="222" t="s">
        <v>2161</v>
      </c>
      <c r="D136" s="221" t="s">
        <v>2034</v>
      </c>
      <c r="E136" s="223">
        <v>508</v>
      </c>
      <c r="F136" s="223">
        <v>1087</v>
      </c>
      <c r="G136" s="224">
        <v>9.5</v>
      </c>
      <c r="H136" s="223">
        <v>10778</v>
      </c>
      <c r="I136" s="223">
        <v>95</v>
      </c>
      <c r="J136" s="221" t="s">
        <v>1962</v>
      </c>
      <c r="K136" s="222">
        <v>0</v>
      </c>
    </row>
    <row r="137" spans="1:11">
      <c r="A137" s="221">
        <v>2.2220399999999998</v>
      </c>
      <c r="B137" s="221" t="s">
        <v>2162</v>
      </c>
      <c r="C137" s="222" t="s">
        <v>2163</v>
      </c>
      <c r="D137" s="221" t="s">
        <v>2034</v>
      </c>
      <c r="E137" s="223" t="s">
        <v>1958</v>
      </c>
      <c r="F137" s="223">
        <v>463</v>
      </c>
      <c r="G137" s="224">
        <v>9.5</v>
      </c>
      <c r="H137" s="223">
        <v>4215</v>
      </c>
      <c r="I137" s="223">
        <v>95</v>
      </c>
      <c r="J137" s="221" t="s">
        <v>1969</v>
      </c>
      <c r="K137" s="222">
        <v>0</v>
      </c>
    </row>
    <row r="138" spans="1:11">
      <c r="A138" s="221">
        <v>2.2240000000000002</v>
      </c>
      <c r="B138" s="221" t="s">
        <v>2164</v>
      </c>
      <c r="C138" s="222" t="s">
        <v>1087</v>
      </c>
      <c r="D138" s="221" t="s">
        <v>2034</v>
      </c>
      <c r="E138" s="223" t="s">
        <v>1958</v>
      </c>
      <c r="F138" s="223">
        <v>160</v>
      </c>
      <c r="G138" s="224">
        <v>9.5</v>
      </c>
      <c r="H138" s="223">
        <v>1456</v>
      </c>
      <c r="I138" s="223">
        <v>115</v>
      </c>
      <c r="J138" s="221" t="s">
        <v>1969</v>
      </c>
      <c r="K138" s="222">
        <v>0</v>
      </c>
    </row>
    <row r="139" spans="1:11">
      <c r="A139" s="221">
        <v>2.2310099999999999</v>
      </c>
      <c r="B139" s="221" t="s">
        <v>2165</v>
      </c>
      <c r="C139" s="222" t="s">
        <v>2166</v>
      </c>
      <c r="D139" s="221" t="s">
        <v>2034</v>
      </c>
      <c r="E139" s="223">
        <v>270</v>
      </c>
      <c r="F139" s="223">
        <v>271</v>
      </c>
      <c r="G139" s="224">
        <v>7.83</v>
      </c>
      <c r="H139" s="223">
        <v>2158</v>
      </c>
      <c r="I139" s="223">
        <v>128</v>
      </c>
      <c r="J139" s="221" t="s">
        <v>1962</v>
      </c>
      <c r="K139" s="222" t="s">
        <v>2167</v>
      </c>
    </row>
    <row r="140" spans="1:11">
      <c r="A140" s="221">
        <v>2.23203</v>
      </c>
      <c r="B140" s="221" t="s">
        <v>2168</v>
      </c>
      <c r="C140" s="222" t="s">
        <v>2169</v>
      </c>
      <c r="D140" s="221" t="s">
        <v>2034</v>
      </c>
      <c r="E140" s="223">
        <v>270</v>
      </c>
      <c r="F140" s="223">
        <v>275</v>
      </c>
      <c r="G140" s="224">
        <v>7.83</v>
      </c>
      <c r="H140" s="223">
        <v>2158</v>
      </c>
      <c r="I140" s="223">
        <v>136</v>
      </c>
      <c r="J140" s="221" t="s">
        <v>1962</v>
      </c>
      <c r="K140" s="222" t="s">
        <v>2167</v>
      </c>
    </row>
    <row r="141" spans="1:11">
      <c r="A141" s="221">
        <v>2.31012</v>
      </c>
      <c r="B141" s="221" t="s">
        <v>2170</v>
      </c>
      <c r="C141" s="222" t="s">
        <v>2171</v>
      </c>
      <c r="D141" s="221" t="s">
        <v>2034</v>
      </c>
      <c r="E141" s="223" t="s">
        <v>1958</v>
      </c>
      <c r="F141" s="223">
        <v>224</v>
      </c>
      <c r="G141" s="224">
        <v>9.5</v>
      </c>
      <c r="H141" s="223">
        <v>2065</v>
      </c>
      <c r="I141" s="223">
        <v>135</v>
      </c>
      <c r="J141" s="221" t="s">
        <v>1969</v>
      </c>
      <c r="K141" s="222">
        <v>0</v>
      </c>
    </row>
    <row r="142" spans="1:11">
      <c r="A142" s="221">
        <v>2.3102399999999998</v>
      </c>
      <c r="B142" s="221" t="s">
        <v>2172</v>
      </c>
      <c r="C142" s="222" t="s">
        <v>1070</v>
      </c>
      <c r="D142" s="221" t="s">
        <v>2034</v>
      </c>
      <c r="E142" s="223" t="s">
        <v>1958</v>
      </c>
      <c r="F142" s="223">
        <v>106</v>
      </c>
      <c r="G142" s="224">
        <v>9.5</v>
      </c>
      <c r="H142" s="223">
        <v>971</v>
      </c>
      <c r="I142" s="223">
        <v>129</v>
      </c>
      <c r="J142" s="221" t="s">
        <v>1969</v>
      </c>
      <c r="K142" s="222">
        <v>0</v>
      </c>
    </row>
    <row r="143" spans="1:11">
      <c r="A143" s="221">
        <v>2.3102499999999999</v>
      </c>
      <c r="B143" s="221" t="s">
        <v>2173</v>
      </c>
      <c r="C143" s="222" t="s">
        <v>2068</v>
      </c>
      <c r="D143" s="221" t="s">
        <v>2034</v>
      </c>
      <c r="E143" s="223" t="s">
        <v>1958</v>
      </c>
      <c r="F143" s="223">
        <v>35</v>
      </c>
      <c r="G143" s="224">
        <v>9.5</v>
      </c>
      <c r="H143" s="223">
        <v>307</v>
      </c>
      <c r="I143" s="223">
        <v>132</v>
      </c>
      <c r="J143" s="221" t="s">
        <v>1969</v>
      </c>
      <c r="K143" s="222" t="s">
        <v>2174</v>
      </c>
    </row>
    <row r="144" spans="1:11">
      <c r="A144" s="221">
        <v>2.3410099999999998</v>
      </c>
      <c r="B144" s="221" t="s">
        <v>2175</v>
      </c>
      <c r="C144" s="222" t="s">
        <v>2176</v>
      </c>
      <c r="D144" s="221" t="s">
        <v>2034</v>
      </c>
      <c r="E144" s="223" t="s">
        <v>1958</v>
      </c>
      <c r="F144" s="223">
        <v>16</v>
      </c>
      <c r="G144" s="224">
        <v>9.5</v>
      </c>
      <c r="H144" s="223">
        <v>145</v>
      </c>
      <c r="I144" s="223">
        <v>127</v>
      </c>
      <c r="J144" s="221" t="s">
        <v>1969</v>
      </c>
      <c r="K144" s="222">
        <v>0</v>
      </c>
    </row>
    <row r="145" spans="1:16">
      <c r="A145" s="221">
        <v>2.4100100000000002</v>
      </c>
      <c r="B145" s="221" t="s">
        <v>2177</v>
      </c>
      <c r="C145" s="222" t="s">
        <v>2178</v>
      </c>
      <c r="D145" s="221" t="s">
        <v>397</v>
      </c>
      <c r="E145" s="223">
        <v>72</v>
      </c>
      <c r="F145" s="223">
        <v>76</v>
      </c>
      <c r="G145" s="224">
        <v>9.58</v>
      </c>
      <c r="H145" s="223">
        <v>728</v>
      </c>
      <c r="I145" s="223">
        <v>62</v>
      </c>
      <c r="J145" s="221" t="s">
        <v>1962</v>
      </c>
      <c r="K145" s="222">
        <v>0</v>
      </c>
    </row>
    <row r="146" spans="1:16">
      <c r="A146" s="221">
        <v>2.41005</v>
      </c>
      <c r="B146" s="221" t="s">
        <v>2179</v>
      </c>
      <c r="C146" s="222" t="s">
        <v>2180</v>
      </c>
      <c r="D146" s="221" t="s">
        <v>2034</v>
      </c>
      <c r="E146" s="223" t="s">
        <v>1958</v>
      </c>
      <c r="F146" s="223">
        <v>57</v>
      </c>
      <c r="G146" s="224">
        <v>9.5</v>
      </c>
      <c r="H146" s="223">
        <v>520</v>
      </c>
      <c r="I146" s="223">
        <v>151</v>
      </c>
      <c r="J146" s="221" t="s">
        <v>1959</v>
      </c>
      <c r="K146" s="222">
        <v>0</v>
      </c>
    </row>
    <row r="147" spans="1:16">
      <c r="A147" s="221">
        <v>2.4100600000000001</v>
      </c>
      <c r="B147" s="221" t="s">
        <v>2181</v>
      </c>
      <c r="C147" s="222" t="s">
        <v>2182</v>
      </c>
      <c r="D147" s="221" t="s">
        <v>397</v>
      </c>
      <c r="E147" s="223">
        <v>51.75</v>
      </c>
      <c r="F147" s="223">
        <v>52</v>
      </c>
      <c r="G147" s="224">
        <v>9.58</v>
      </c>
      <c r="H147" s="223">
        <v>498</v>
      </c>
      <c r="I147" s="223">
        <v>59</v>
      </c>
      <c r="J147" s="221" t="s">
        <v>1962</v>
      </c>
      <c r="K147" s="222">
        <v>0</v>
      </c>
    </row>
    <row r="148" spans="1:16">
      <c r="A148" s="221">
        <v>2.42001</v>
      </c>
      <c r="B148" s="221" t="s">
        <v>2183</v>
      </c>
      <c r="C148" s="222" t="s">
        <v>1043</v>
      </c>
      <c r="D148" s="221" t="s">
        <v>2034</v>
      </c>
      <c r="E148" s="223" t="s">
        <v>1958</v>
      </c>
      <c r="F148" s="223">
        <v>171</v>
      </c>
      <c r="G148" s="224">
        <v>9.5</v>
      </c>
      <c r="H148" s="223">
        <v>2072</v>
      </c>
      <c r="I148" s="223">
        <v>42</v>
      </c>
      <c r="J148" s="221" t="s">
        <v>1969</v>
      </c>
      <c r="K148" s="222">
        <v>0</v>
      </c>
    </row>
    <row r="149" spans="1:16">
      <c r="A149" s="221">
        <v>2.51003</v>
      </c>
      <c r="B149" s="221" t="s">
        <v>2184</v>
      </c>
      <c r="C149" s="222" t="s">
        <v>2185</v>
      </c>
      <c r="D149" s="221" t="s">
        <v>2034</v>
      </c>
      <c r="E149" s="223" t="s">
        <v>1958</v>
      </c>
      <c r="F149" s="223">
        <v>103</v>
      </c>
      <c r="G149" s="224">
        <v>9.5</v>
      </c>
      <c r="H149" s="223">
        <v>1103</v>
      </c>
      <c r="I149" s="223">
        <v>57</v>
      </c>
      <c r="J149" s="221" t="s">
        <v>1969</v>
      </c>
      <c r="K149" s="222">
        <v>0</v>
      </c>
    </row>
    <row r="150" spans="1:16">
      <c r="A150" s="221">
        <v>2.5500099999999999</v>
      </c>
      <c r="B150" s="221" t="s">
        <v>2186</v>
      </c>
      <c r="C150" s="222" t="s">
        <v>2187</v>
      </c>
      <c r="D150" s="221" t="s">
        <v>397</v>
      </c>
      <c r="E150" s="223" t="s">
        <v>1958</v>
      </c>
      <c r="F150" s="223">
        <v>41</v>
      </c>
      <c r="G150" s="224">
        <v>9.58</v>
      </c>
      <c r="H150" s="223">
        <v>326</v>
      </c>
      <c r="I150" s="223">
        <v>31</v>
      </c>
      <c r="J150" s="221" t="s">
        <v>1959</v>
      </c>
      <c r="K150" s="222">
        <v>0</v>
      </c>
    </row>
    <row r="151" spans="1:16">
      <c r="A151" s="221">
        <v>2.5600100000000001</v>
      </c>
      <c r="B151" s="221" t="s">
        <v>2188</v>
      </c>
      <c r="C151" s="222" t="s">
        <v>2189</v>
      </c>
      <c r="D151" s="221" t="s">
        <v>1989</v>
      </c>
      <c r="E151" s="223" t="s">
        <v>1958</v>
      </c>
      <c r="F151" s="223">
        <v>12</v>
      </c>
      <c r="G151" s="224">
        <v>9.33</v>
      </c>
      <c r="H151" s="223">
        <v>112</v>
      </c>
      <c r="I151" s="223">
        <v>59</v>
      </c>
      <c r="J151" s="221" t="s">
        <v>1969</v>
      </c>
      <c r="K151" s="222">
        <v>0</v>
      </c>
    </row>
    <row r="152" spans="1:16">
      <c r="A152" s="221">
        <v>2.5600100000000001</v>
      </c>
      <c r="B152" s="221" t="s">
        <v>2190</v>
      </c>
      <c r="C152" s="222" t="s">
        <v>1012</v>
      </c>
      <c r="D152" s="221" t="s">
        <v>1974</v>
      </c>
      <c r="E152" s="223" t="s">
        <v>1958</v>
      </c>
      <c r="F152" s="223">
        <v>14</v>
      </c>
      <c r="G152" s="224">
        <v>9.17</v>
      </c>
      <c r="H152" s="223">
        <v>186</v>
      </c>
      <c r="I152" s="223">
        <v>50</v>
      </c>
      <c r="J152" s="221" t="s">
        <v>1959</v>
      </c>
      <c r="K152" s="222">
        <v>0</v>
      </c>
    </row>
    <row r="153" spans="1:16">
      <c r="A153" s="221">
        <v>2.6200100000000002</v>
      </c>
      <c r="B153" s="221" t="s">
        <v>2191</v>
      </c>
      <c r="C153" s="222" t="s">
        <v>2192</v>
      </c>
      <c r="D153" s="221" t="s">
        <v>397</v>
      </c>
      <c r="E153" s="223" t="s">
        <v>1958</v>
      </c>
      <c r="F153" s="223">
        <v>43</v>
      </c>
      <c r="G153" s="224">
        <v>9.58</v>
      </c>
      <c r="H153" s="223">
        <v>412</v>
      </c>
      <c r="I153" s="223">
        <v>62</v>
      </c>
      <c r="J153" s="221" t="s">
        <v>1969</v>
      </c>
      <c r="K153" s="222">
        <v>0</v>
      </c>
    </row>
    <row r="154" spans="1:16">
      <c r="A154" s="221">
        <v>2.6200100000000002</v>
      </c>
      <c r="B154" s="221" t="s">
        <v>2193</v>
      </c>
      <c r="C154" s="222" t="s">
        <v>2194</v>
      </c>
      <c r="D154" s="221" t="s">
        <v>2034</v>
      </c>
      <c r="E154" s="223" t="s">
        <v>1958</v>
      </c>
      <c r="F154" s="223">
        <v>126</v>
      </c>
      <c r="G154" s="224">
        <v>9.5</v>
      </c>
      <c r="H154" s="223">
        <v>1451</v>
      </c>
      <c r="I154" s="223">
        <v>46</v>
      </c>
      <c r="J154" s="221" t="s">
        <v>1959</v>
      </c>
      <c r="K154" s="222">
        <v>0</v>
      </c>
    </row>
    <row r="155" spans="1:16" s="232" customFormat="1">
      <c r="A155" s="426" t="s">
        <v>2195</v>
      </c>
      <c r="B155" s="427"/>
      <c r="C155" s="428"/>
      <c r="D155" s="215"/>
      <c r="E155" s="225"/>
      <c r="F155" s="225">
        <v>14185</v>
      </c>
      <c r="G155" s="226"/>
      <c r="H155" s="225">
        <v>134221</v>
      </c>
      <c r="I155" s="225"/>
      <c r="J155" s="215"/>
      <c r="K155" s="231"/>
    </row>
    <row r="156" spans="1:16">
      <c r="A156" s="221">
        <v>3</v>
      </c>
      <c r="B156" s="221" t="s">
        <v>2196</v>
      </c>
      <c r="C156" s="227" t="s">
        <v>2197</v>
      </c>
      <c r="D156" s="228" t="s">
        <v>2034</v>
      </c>
      <c r="E156" s="223" t="s">
        <v>1958</v>
      </c>
      <c r="F156" s="223" t="s">
        <v>1958</v>
      </c>
      <c r="G156" s="223" t="s">
        <v>1958</v>
      </c>
      <c r="H156" s="223">
        <v>231</v>
      </c>
      <c r="I156" s="223">
        <v>61</v>
      </c>
      <c r="J156" s="223" t="s">
        <v>1962</v>
      </c>
      <c r="K156" s="229" t="s">
        <v>2198</v>
      </c>
      <c r="L156" s="213"/>
      <c r="M156" s="213"/>
      <c r="N156" s="230"/>
      <c r="O156" s="230"/>
      <c r="P156" s="230"/>
    </row>
    <row r="157" spans="1:16">
      <c r="A157" s="221">
        <v>3</v>
      </c>
      <c r="B157" s="221" t="s">
        <v>2199</v>
      </c>
      <c r="C157" s="222" t="s">
        <v>2200</v>
      </c>
      <c r="D157" s="221" t="s">
        <v>2034</v>
      </c>
      <c r="E157" s="223" t="s">
        <v>1958</v>
      </c>
      <c r="F157" s="223">
        <v>72</v>
      </c>
      <c r="G157" s="224">
        <v>9.5</v>
      </c>
      <c r="H157" s="223">
        <v>688</v>
      </c>
      <c r="I157" s="223">
        <v>121</v>
      </c>
      <c r="J157" s="221" t="s">
        <v>1962</v>
      </c>
      <c r="K157" s="222">
        <v>0</v>
      </c>
    </row>
    <row r="158" spans="1:16">
      <c r="A158" s="221">
        <v>3</v>
      </c>
      <c r="B158" s="221" t="s">
        <v>2201</v>
      </c>
      <c r="C158" s="222" t="s">
        <v>2202</v>
      </c>
      <c r="D158" s="221" t="s">
        <v>2034</v>
      </c>
      <c r="E158" s="223" t="s">
        <v>1958</v>
      </c>
      <c r="F158" s="223">
        <v>207</v>
      </c>
      <c r="G158" s="224">
        <v>9.5</v>
      </c>
      <c r="H158" s="223">
        <v>1950</v>
      </c>
      <c r="I158" s="223">
        <v>152</v>
      </c>
      <c r="J158" s="221" t="s">
        <v>1962</v>
      </c>
      <c r="K158" s="222">
        <v>0</v>
      </c>
    </row>
    <row r="159" spans="1:16">
      <c r="A159" s="221">
        <v>3</v>
      </c>
      <c r="B159" s="221" t="s">
        <v>2203</v>
      </c>
      <c r="C159" s="222" t="s">
        <v>2204</v>
      </c>
      <c r="D159" s="221" t="s">
        <v>451</v>
      </c>
      <c r="E159" s="223" t="s">
        <v>1958</v>
      </c>
      <c r="F159" s="223" t="s">
        <v>1958</v>
      </c>
      <c r="G159" s="224" t="s">
        <v>1958</v>
      </c>
      <c r="H159" s="223">
        <v>102</v>
      </c>
      <c r="I159" s="223">
        <v>71</v>
      </c>
      <c r="J159" s="221" t="s">
        <v>1969</v>
      </c>
      <c r="K159" s="222">
        <v>0</v>
      </c>
    </row>
    <row r="160" spans="1:16">
      <c r="A160" s="221">
        <v>3</v>
      </c>
      <c r="B160" s="221" t="s">
        <v>2205</v>
      </c>
      <c r="C160" s="222" t="s">
        <v>2204</v>
      </c>
      <c r="D160" s="221" t="s">
        <v>451</v>
      </c>
      <c r="E160" s="223" t="s">
        <v>1958</v>
      </c>
      <c r="F160" s="223" t="s">
        <v>1958</v>
      </c>
      <c r="G160" s="224" t="s">
        <v>1958</v>
      </c>
      <c r="H160" s="223">
        <v>68</v>
      </c>
      <c r="I160" s="223">
        <v>95</v>
      </c>
      <c r="J160" s="221" t="s">
        <v>1959</v>
      </c>
      <c r="K160" s="222">
        <v>0</v>
      </c>
    </row>
    <row r="161" spans="1:11">
      <c r="A161" s="221">
        <v>3</v>
      </c>
      <c r="B161" s="221" t="s">
        <v>2206</v>
      </c>
      <c r="C161" s="222" t="s">
        <v>2204</v>
      </c>
      <c r="D161" s="221" t="s">
        <v>451</v>
      </c>
      <c r="E161" s="223" t="s">
        <v>1958</v>
      </c>
      <c r="F161" s="223" t="s">
        <v>1958</v>
      </c>
      <c r="G161" s="224" t="s">
        <v>1958</v>
      </c>
      <c r="H161" s="223">
        <v>64</v>
      </c>
      <c r="I161" s="223">
        <v>123</v>
      </c>
      <c r="J161" s="221" t="s">
        <v>1969</v>
      </c>
      <c r="K161" s="222">
        <v>0</v>
      </c>
    </row>
    <row r="162" spans="1:11">
      <c r="A162" s="221">
        <v>3.1100099999999999</v>
      </c>
      <c r="B162" s="221" t="s">
        <v>2207</v>
      </c>
      <c r="C162" s="222" t="s">
        <v>2208</v>
      </c>
      <c r="D162" s="221" t="s">
        <v>1974</v>
      </c>
      <c r="E162" s="223" t="s">
        <v>1958</v>
      </c>
      <c r="F162" s="223">
        <v>1146</v>
      </c>
      <c r="G162" s="224">
        <v>6.67</v>
      </c>
      <c r="H162" s="223">
        <v>14459</v>
      </c>
      <c r="I162" s="223">
        <v>167</v>
      </c>
      <c r="J162" s="221" t="s">
        <v>1962</v>
      </c>
      <c r="K162" s="222" t="s">
        <v>1975</v>
      </c>
    </row>
    <row r="163" spans="1:11">
      <c r="A163" s="221">
        <v>3.15002</v>
      </c>
      <c r="B163" s="221" t="s">
        <v>2209</v>
      </c>
      <c r="C163" s="222" t="s">
        <v>2210</v>
      </c>
      <c r="D163" s="221" t="s">
        <v>1974</v>
      </c>
      <c r="E163" s="223" t="s">
        <v>1958</v>
      </c>
      <c r="F163" s="223">
        <v>33</v>
      </c>
      <c r="G163" s="224">
        <v>18.670000000000002</v>
      </c>
      <c r="H163" s="223">
        <v>821</v>
      </c>
      <c r="I163" s="223">
        <v>11</v>
      </c>
      <c r="J163" s="221" t="s">
        <v>1969</v>
      </c>
      <c r="K163" s="222">
        <v>0</v>
      </c>
    </row>
    <row r="164" spans="1:11">
      <c r="A164" s="221">
        <v>3.15002</v>
      </c>
      <c r="B164" s="221" t="s">
        <v>2211</v>
      </c>
      <c r="C164" s="222" t="s">
        <v>2210</v>
      </c>
      <c r="D164" s="221" t="s">
        <v>1974</v>
      </c>
      <c r="E164" s="223" t="s">
        <v>1958</v>
      </c>
      <c r="F164" s="223">
        <v>33</v>
      </c>
      <c r="G164" s="224">
        <v>18.670000000000002</v>
      </c>
      <c r="H164" s="223">
        <v>821</v>
      </c>
      <c r="I164" s="223">
        <v>11</v>
      </c>
      <c r="J164" s="221" t="s">
        <v>1959</v>
      </c>
      <c r="K164" s="222">
        <v>0</v>
      </c>
    </row>
    <row r="165" spans="1:11">
      <c r="A165" s="221">
        <v>3.15002</v>
      </c>
      <c r="B165" s="221" t="s">
        <v>2212</v>
      </c>
      <c r="C165" s="222" t="s">
        <v>2213</v>
      </c>
      <c r="D165" s="221" t="s">
        <v>451</v>
      </c>
      <c r="E165" s="223" t="s">
        <v>1958</v>
      </c>
      <c r="F165" s="223">
        <v>268</v>
      </c>
      <c r="G165" s="224" t="s">
        <v>1958</v>
      </c>
      <c r="H165" s="223">
        <v>5699</v>
      </c>
      <c r="I165" s="223">
        <v>26</v>
      </c>
      <c r="J165" s="221" t="s">
        <v>1962</v>
      </c>
      <c r="K165" s="222" t="s">
        <v>1996</v>
      </c>
    </row>
    <row r="166" spans="1:11">
      <c r="A166" s="221">
        <v>3.21001</v>
      </c>
      <c r="B166" s="221" t="s">
        <v>2214</v>
      </c>
      <c r="C166" s="222" t="s">
        <v>2215</v>
      </c>
      <c r="D166" s="221" t="s">
        <v>2034</v>
      </c>
      <c r="E166" s="223" t="s">
        <v>1958</v>
      </c>
      <c r="F166" s="223">
        <v>71</v>
      </c>
      <c r="G166" s="224">
        <v>9.5</v>
      </c>
      <c r="H166" s="223">
        <v>677</v>
      </c>
      <c r="I166" s="223">
        <v>156</v>
      </c>
      <c r="J166" s="221" t="s">
        <v>1959</v>
      </c>
      <c r="K166" s="222">
        <v>0</v>
      </c>
    </row>
    <row r="167" spans="1:11">
      <c r="A167" s="221">
        <v>3.22</v>
      </c>
      <c r="B167" s="221" t="s">
        <v>2216</v>
      </c>
      <c r="C167" s="222" t="s">
        <v>2217</v>
      </c>
      <c r="D167" s="221" t="s">
        <v>2034</v>
      </c>
      <c r="E167" s="223" t="s">
        <v>1958</v>
      </c>
      <c r="F167" s="223">
        <v>120</v>
      </c>
      <c r="G167" s="224">
        <v>9.5</v>
      </c>
      <c r="H167" s="223">
        <v>1094</v>
      </c>
      <c r="I167" s="223">
        <v>26</v>
      </c>
      <c r="J167" s="221" t="s">
        <v>1962</v>
      </c>
      <c r="K167" s="222" t="s">
        <v>2218</v>
      </c>
    </row>
    <row r="168" spans="1:11">
      <c r="A168" s="221">
        <v>3.22</v>
      </c>
      <c r="B168" s="221" t="s">
        <v>2219</v>
      </c>
      <c r="C168" s="222" t="s">
        <v>2220</v>
      </c>
      <c r="D168" s="221" t="s">
        <v>2034</v>
      </c>
      <c r="E168" s="223" t="s">
        <v>1958</v>
      </c>
      <c r="F168" s="223">
        <v>91</v>
      </c>
      <c r="G168" s="224">
        <v>9.5</v>
      </c>
      <c r="H168" s="223">
        <v>891</v>
      </c>
      <c r="I168" s="223">
        <v>148</v>
      </c>
      <c r="J168" s="221" t="s">
        <v>1962</v>
      </c>
      <c r="K168" s="222">
        <v>0</v>
      </c>
    </row>
    <row r="169" spans="1:11">
      <c r="A169" s="221">
        <v>3.2201900000000001</v>
      </c>
      <c r="B169" s="221" t="s">
        <v>2221</v>
      </c>
      <c r="C169" s="222" t="s">
        <v>2222</v>
      </c>
      <c r="D169" s="221" t="s">
        <v>397</v>
      </c>
      <c r="E169" s="223" t="s">
        <v>1958</v>
      </c>
      <c r="F169" s="223">
        <v>68</v>
      </c>
      <c r="G169" s="224">
        <v>9.58</v>
      </c>
      <c r="H169" s="223">
        <v>619</v>
      </c>
      <c r="I169" s="223">
        <v>130</v>
      </c>
      <c r="J169" s="221" t="s">
        <v>1969</v>
      </c>
      <c r="K169" s="222">
        <v>0</v>
      </c>
    </row>
    <row r="170" spans="1:11">
      <c r="A170" s="221">
        <v>3.2202099999999998</v>
      </c>
      <c r="B170" s="221" t="s">
        <v>2223</v>
      </c>
      <c r="C170" s="222" t="s">
        <v>2224</v>
      </c>
      <c r="D170" s="221" t="s">
        <v>2034</v>
      </c>
      <c r="E170" s="223" t="s">
        <v>1958</v>
      </c>
      <c r="F170" s="223">
        <v>270</v>
      </c>
      <c r="G170" s="224">
        <v>9.5</v>
      </c>
      <c r="H170" s="223">
        <v>2073</v>
      </c>
      <c r="I170" s="223">
        <v>159</v>
      </c>
      <c r="J170" s="221" t="s">
        <v>1962</v>
      </c>
      <c r="K170" s="222">
        <v>0</v>
      </c>
    </row>
    <row r="171" spans="1:11">
      <c r="A171" s="221">
        <v>3.25</v>
      </c>
      <c r="B171" s="221" t="s">
        <v>2225</v>
      </c>
      <c r="C171" s="222" t="s">
        <v>2226</v>
      </c>
      <c r="D171" s="221" t="s">
        <v>397</v>
      </c>
      <c r="E171" s="223" t="s">
        <v>1958</v>
      </c>
      <c r="F171" s="223" t="s">
        <v>1958</v>
      </c>
      <c r="G171" s="224">
        <v>9.58</v>
      </c>
      <c r="H171" s="223">
        <v>997</v>
      </c>
      <c r="I171" s="223">
        <v>123</v>
      </c>
      <c r="J171" s="221" t="s">
        <v>1969</v>
      </c>
      <c r="K171" s="222">
        <v>0</v>
      </c>
    </row>
    <row r="172" spans="1:11">
      <c r="A172" s="221">
        <v>3.25101</v>
      </c>
      <c r="B172" s="221" t="s">
        <v>2227</v>
      </c>
      <c r="C172" s="222" t="s">
        <v>2228</v>
      </c>
      <c r="D172" s="221" t="s">
        <v>2034</v>
      </c>
      <c r="E172" s="223" t="s">
        <v>1958</v>
      </c>
      <c r="F172" s="223">
        <v>104</v>
      </c>
      <c r="G172" s="224">
        <v>9.5</v>
      </c>
      <c r="H172" s="223">
        <v>957</v>
      </c>
      <c r="I172" s="223">
        <v>90</v>
      </c>
      <c r="J172" s="221" t="s">
        <v>1959</v>
      </c>
      <c r="K172" s="222">
        <v>0</v>
      </c>
    </row>
    <row r="173" spans="1:11">
      <c r="A173" s="221">
        <v>3.25101</v>
      </c>
      <c r="B173" s="221" t="s">
        <v>2229</v>
      </c>
      <c r="C173" s="222" t="s">
        <v>2230</v>
      </c>
      <c r="D173" s="221" t="s">
        <v>2034</v>
      </c>
      <c r="E173" s="223" t="s">
        <v>1958</v>
      </c>
      <c r="F173" s="223">
        <v>104</v>
      </c>
      <c r="G173" s="224">
        <v>9.5</v>
      </c>
      <c r="H173" s="223">
        <v>933</v>
      </c>
      <c r="I173" s="223">
        <v>154</v>
      </c>
      <c r="J173" s="221" t="s">
        <v>1959</v>
      </c>
      <c r="K173" s="222">
        <v>0</v>
      </c>
    </row>
    <row r="174" spans="1:11">
      <c r="A174" s="221">
        <v>3.25101</v>
      </c>
      <c r="B174" s="221" t="s">
        <v>2231</v>
      </c>
      <c r="C174" s="222" t="s">
        <v>2232</v>
      </c>
      <c r="D174" s="221" t="s">
        <v>2034</v>
      </c>
      <c r="E174" s="223" t="s">
        <v>1958</v>
      </c>
      <c r="F174" s="223">
        <v>106</v>
      </c>
      <c r="G174" s="224">
        <v>9.5</v>
      </c>
      <c r="H174" s="223">
        <v>1195</v>
      </c>
      <c r="I174" s="223">
        <v>167</v>
      </c>
      <c r="J174" s="221" t="s">
        <v>1969</v>
      </c>
      <c r="K174" s="222">
        <v>0</v>
      </c>
    </row>
    <row r="175" spans="1:11">
      <c r="A175" s="221">
        <v>3.3020299999999998</v>
      </c>
      <c r="B175" s="221" t="s">
        <v>2233</v>
      </c>
      <c r="C175" s="222" t="s">
        <v>2234</v>
      </c>
      <c r="D175" s="221" t="s">
        <v>397</v>
      </c>
      <c r="E175" s="223" t="s">
        <v>1958</v>
      </c>
      <c r="F175" s="223">
        <v>77</v>
      </c>
      <c r="G175" s="224">
        <v>9.58</v>
      </c>
      <c r="H175" s="223">
        <v>738</v>
      </c>
      <c r="I175" s="223">
        <v>86</v>
      </c>
      <c r="J175" s="221" t="s">
        <v>1959</v>
      </c>
      <c r="K175" s="222">
        <v>0</v>
      </c>
    </row>
    <row r="176" spans="1:11">
      <c r="A176" s="221">
        <v>3.30301</v>
      </c>
      <c r="B176" s="221" t="s">
        <v>2235</v>
      </c>
      <c r="C176" s="222" t="s">
        <v>2236</v>
      </c>
      <c r="D176" s="221" t="s">
        <v>1974</v>
      </c>
      <c r="E176" s="223" t="s">
        <v>1958</v>
      </c>
      <c r="F176" s="223">
        <v>94</v>
      </c>
      <c r="G176" s="224">
        <v>9.26</v>
      </c>
      <c r="H176" s="223">
        <v>1500</v>
      </c>
      <c r="I176" s="223">
        <v>144</v>
      </c>
      <c r="J176" s="221" t="s">
        <v>1969</v>
      </c>
      <c r="K176" s="222" t="s">
        <v>1975</v>
      </c>
    </row>
    <row r="177" spans="1:11">
      <c r="A177" s="221">
        <v>3.3040099999999999</v>
      </c>
      <c r="B177" s="221" t="s">
        <v>2237</v>
      </c>
      <c r="C177" s="222" t="s">
        <v>2238</v>
      </c>
      <c r="D177" s="221" t="s">
        <v>2034</v>
      </c>
      <c r="E177" s="223" t="s">
        <v>1958</v>
      </c>
      <c r="F177" s="223">
        <v>84</v>
      </c>
      <c r="G177" s="224">
        <v>9.5</v>
      </c>
      <c r="H177" s="223">
        <v>733</v>
      </c>
      <c r="I177" s="223">
        <v>159</v>
      </c>
      <c r="J177" s="221" t="s">
        <v>1959</v>
      </c>
      <c r="K177" s="222">
        <v>0</v>
      </c>
    </row>
    <row r="178" spans="1:11">
      <c r="A178" s="221">
        <v>3.3040600000000002</v>
      </c>
      <c r="B178" s="221" t="s">
        <v>2239</v>
      </c>
      <c r="C178" s="222" t="s">
        <v>906</v>
      </c>
      <c r="D178" s="221" t="s">
        <v>2034</v>
      </c>
      <c r="E178" s="223" t="s">
        <v>1958</v>
      </c>
      <c r="F178" s="223">
        <v>71</v>
      </c>
      <c r="G178" s="224">
        <v>9.5</v>
      </c>
      <c r="H178" s="223">
        <v>686</v>
      </c>
      <c r="I178" s="223">
        <v>162</v>
      </c>
      <c r="J178" s="221" t="s">
        <v>1959</v>
      </c>
      <c r="K178" s="222">
        <v>0</v>
      </c>
    </row>
    <row r="179" spans="1:11">
      <c r="A179" s="221">
        <v>3.3050299999999999</v>
      </c>
      <c r="B179" s="221" t="s">
        <v>2240</v>
      </c>
      <c r="C179" s="222" t="s">
        <v>2241</v>
      </c>
      <c r="D179" s="221" t="s">
        <v>397</v>
      </c>
      <c r="E179" s="223" t="s">
        <v>1958</v>
      </c>
      <c r="F179" s="223">
        <v>8</v>
      </c>
      <c r="G179" s="224">
        <v>9.58</v>
      </c>
      <c r="H179" s="223">
        <v>77</v>
      </c>
      <c r="I179" s="223">
        <v>61</v>
      </c>
      <c r="J179" s="221" t="s">
        <v>1959</v>
      </c>
      <c r="K179" s="222">
        <v>0</v>
      </c>
    </row>
    <row r="180" spans="1:11">
      <c r="A180" s="221">
        <v>3.3052000000000001</v>
      </c>
      <c r="B180" s="221" t="s">
        <v>2242</v>
      </c>
      <c r="C180" s="222" t="s">
        <v>2243</v>
      </c>
      <c r="D180" s="221" t="s">
        <v>397</v>
      </c>
      <c r="E180" s="223" t="s">
        <v>1958</v>
      </c>
      <c r="F180" s="223">
        <v>58</v>
      </c>
      <c r="G180" s="224">
        <v>9.58</v>
      </c>
      <c r="H180" s="223">
        <v>556</v>
      </c>
      <c r="I180" s="223">
        <v>90</v>
      </c>
      <c r="J180" s="221" t="s">
        <v>1959</v>
      </c>
      <c r="K180" s="222">
        <v>0</v>
      </c>
    </row>
    <row r="181" spans="1:11">
      <c r="A181" s="221">
        <v>3.3060100000000001</v>
      </c>
      <c r="B181" s="221" t="s">
        <v>2244</v>
      </c>
      <c r="C181" s="222" t="s">
        <v>2245</v>
      </c>
      <c r="D181" s="221" t="s">
        <v>1957</v>
      </c>
      <c r="E181" s="223" t="s">
        <v>1958</v>
      </c>
      <c r="F181" s="223">
        <v>50</v>
      </c>
      <c r="G181" s="224">
        <v>9.8332999999999995</v>
      </c>
      <c r="H181" s="223">
        <v>492</v>
      </c>
      <c r="I181" s="223">
        <v>67</v>
      </c>
      <c r="J181" s="221" t="s">
        <v>1959</v>
      </c>
      <c r="K181" s="222">
        <v>0</v>
      </c>
    </row>
    <row r="182" spans="1:11">
      <c r="A182" s="221">
        <v>3.5300600000000002</v>
      </c>
      <c r="B182" s="221" t="s">
        <v>2246</v>
      </c>
      <c r="C182" s="222" t="s">
        <v>2247</v>
      </c>
      <c r="D182" s="221" t="s">
        <v>1989</v>
      </c>
      <c r="E182" s="223" t="s">
        <v>1958</v>
      </c>
      <c r="F182" s="223">
        <v>91</v>
      </c>
      <c r="G182" s="224">
        <v>9.33</v>
      </c>
      <c r="H182" s="223">
        <v>849</v>
      </c>
      <c r="I182" s="223">
        <v>109</v>
      </c>
      <c r="J182" s="221" t="s">
        <v>1959</v>
      </c>
      <c r="K182" s="222">
        <v>0</v>
      </c>
    </row>
    <row r="183" spans="1:11">
      <c r="A183" s="221">
        <v>3.5300799999999999</v>
      </c>
      <c r="B183" s="221" t="s">
        <v>2248</v>
      </c>
      <c r="C183" s="222" t="s">
        <v>2249</v>
      </c>
      <c r="D183" s="221" t="s">
        <v>397</v>
      </c>
      <c r="E183" s="223" t="s">
        <v>1958</v>
      </c>
      <c r="F183" s="223">
        <v>202</v>
      </c>
      <c r="G183" s="224">
        <v>9.58</v>
      </c>
      <c r="H183" s="223">
        <v>1849</v>
      </c>
      <c r="I183" s="223">
        <v>138</v>
      </c>
      <c r="J183" s="221" t="s">
        <v>1959</v>
      </c>
      <c r="K183" s="222">
        <v>0</v>
      </c>
    </row>
    <row r="184" spans="1:11">
      <c r="A184" s="221">
        <v>3.6130200000000001</v>
      </c>
      <c r="B184" s="221" t="s">
        <v>2250</v>
      </c>
      <c r="C184" s="222" t="s">
        <v>2251</v>
      </c>
      <c r="D184" s="221" t="s">
        <v>1974</v>
      </c>
      <c r="E184" s="223" t="s">
        <v>1958</v>
      </c>
      <c r="F184" s="223">
        <v>324</v>
      </c>
      <c r="G184" s="224">
        <v>10.25</v>
      </c>
      <c r="H184" s="223">
        <v>4015</v>
      </c>
      <c r="I184" s="223">
        <v>150</v>
      </c>
      <c r="J184" s="221" t="s">
        <v>1959</v>
      </c>
      <c r="K184" s="222" t="s">
        <v>1975</v>
      </c>
    </row>
    <row r="185" spans="1:11">
      <c r="A185" s="221">
        <v>3.6401400000000002</v>
      </c>
      <c r="B185" s="221" t="s">
        <v>2252</v>
      </c>
      <c r="C185" s="222" t="s">
        <v>2253</v>
      </c>
      <c r="D185" s="221" t="s">
        <v>397</v>
      </c>
      <c r="E185" s="223" t="s">
        <v>1958</v>
      </c>
      <c r="F185" s="223">
        <v>90</v>
      </c>
      <c r="G185" s="224">
        <v>9.58</v>
      </c>
      <c r="H185" s="223">
        <v>868</v>
      </c>
      <c r="I185" s="223">
        <v>65</v>
      </c>
      <c r="J185" s="221" t="s">
        <v>1959</v>
      </c>
      <c r="K185" s="222">
        <v>0</v>
      </c>
    </row>
    <row r="186" spans="1:11">
      <c r="A186" s="221">
        <v>3.7109999999999999</v>
      </c>
      <c r="B186" s="221" t="s">
        <v>2254</v>
      </c>
      <c r="C186" s="222" t="s">
        <v>2255</v>
      </c>
      <c r="D186" s="221" t="s">
        <v>2034</v>
      </c>
      <c r="E186" s="223" t="s">
        <v>1958</v>
      </c>
      <c r="F186" s="223">
        <v>184</v>
      </c>
      <c r="G186" s="224">
        <v>9.5</v>
      </c>
      <c r="H186" s="223">
        <v>1708</v>
      </c>
      <c r="I186" s="223">
        <v>159</v>
      </c>
      <c r="J186" s="221" t="s">
        <v>1969</v>
      </c>
      <c r="K186" s="222">
        <v>0</v>
      </c>
    </row>
    <row r="187" spans="1:11">
      <c r="A187" s="221">
        <v>3.713114</v>
      </c>
      <c r="B187" s="221" t="s">
        <v>2256</v>
      </c>
      <c r="C187" s="222" t="s">
        <v>2257</v>
      </c>
      <c r="D187" s="221" t="s">
        <v>397</v>
      </c>
      <c r="E187" s="223" t="s">
        <v>1958</v>
      </c>
      <c r="F187" s="223">
        <v>92</v>
      </c>
      <c r="G187" s="224">
        <v>9.58</v>
      </c>
      <c r="H187" s="223">
        <v>881</v>
      </c>
      <c r="I187" s="223">
        <v>85</v>
      </c>
      <c r="J187" s="221" t="s">
        <v>1969</v>
      </c>
      <c r="K187" s="222">
        <v>0</v>
      </c>
    </row>
    <row r="188" spans="1:11">
      <c r="A188" s="221">
        <v>3.713114</v>
      </c>
      <c r="B188" s="221" t="s">
        <v>2258</v>
      </c>
      <c r="C188" s="222" t="s">
        <v>2259</v>
      </c>
      <c r="D188" s="221" t="s">
        <v>2034</v>
      </c>
      <c r="E188" s="223" t="s">
        <v>1958</v>
      </c>
      <c r="F188" s="223">
        <v>161</v>
      </c>
      <c r="G188" s="224">
        <v>9.5</v>
      </c>
      <c r="H188" s="223">
        <v>1496</v>
      </c>
      <c r="I188" s="223">
        <v>121</v>
      </c>
      <c r="J188" s="221" t="s">
        <v>1969</v>
      </c>
      <c r="K188" s="222">
        <v>0</v>
      </c>
    </row>
    <row r="189" spans="1:11">
      <c r="A189" s="221">
        <v>3.7200099999999998</v>
      </c>
      <c r="B189" s="221" t="s">
        <v>2260</v>
      </c>
      <c r="C189" s="222" t="s">
        <v>2261</v>
      </c>
      <c r="D189" s="221" t="s">
        <v>1974</v>
      </c>
      <c r="E189" s="223">
        <v>137</v>
      </c>
      <c r="F189" s="223">
        <v>99</v>
      </c>
      <c r="G189" s="224">
        <v>9.26</v>
      </c>
      <c r="H189" s="223">
        <v>1562</v>
      </c>
      <c r="I189" s="223">
        <v>144</v>
      </c>
      <c r="J189" s="221" t="s">
        <v>1959</v>
      </c>
      <c r="K189" s="222" t="s">
        <v>2262</v>
      </c>
    </row>
    <row r="190" spans="1:11">
      <c r="A190" s="221">
        <v>3.7200099999999998</v>
      </c>
      <c r="B190" s="221" t="s">
        <v>2263</v>
      </c>
      <c r="C190" s="222" t="s">
        <v>2264</v>
      </c>
      <c r="D190" s="221" t="s">
        <v>1974</v>
      </c>
      <c r="E190" s="223">
        <v>137</v>
      </c>
      <c r="F190" s="223">
        <v>41</v>
      </c>
      <c r="G190" s="224">
        <v>9.4700000000000006</v>
      </c>
      <c r="H190" s="223">
        <v>395</v>
      </c>
      <c r="I190" s="223">
        <v>148</v>
      </c>
      <c r="J190" s="221" t="s">
        <v>1962</v>
      </c>
      <c r="K190" s="222" t="s">
        <v>2262</v>
      </c>
    </row>
    <row r="191" spans="1:11">
      <c r="A191" s="221">
        <v>3.7400099999999998</v>
      </c>
      <c r="B191" s="221" t="s">
        <v>2265</v>
      </c>
      <c r="C191" s="222" t="s">
        <v>2266</v>
      </c>
      <c r="D191" s="221" t="s">
        <v>397</v>
      </c>
      <c r="E191" s="223" t="s">
        <v>1958</v>
      </c>
      <c r="F191" s="223">
        <v>110</v>
      </c>
      <c r="G191" s="224">
        <v>9.58</v>
      </c>
      <c r="H191" s="223">
        <v>728</v>
      </c>
      <c r="I191" s="223">
        <v>26</v>
      </c>
      <c r="J191" s="221" t="s">
        <v>1962</v>
      </c>
      <c r="K191" s="222">
        <v>0</v>
      </c>
    </row>
    <row r="192" spans="1:11">
      <c r="A192" s="221">
        <v>3.74003</v>
      </c>
      <c r="B192" s="221" t="s">
        <v>2267</v>
      </c>
      <c r="C192" s="222" t="s">
        <v>2268</v>
      </c>
      <c r="D192" s="221" t="s">
        <v>2034</v>
      </c>
      <c r="E192" s="223" t="s">
        <v>1958</v>
      </c>
      <c r="F192" s="223">
        <v>69</v>
      </c>
      <c r="G192" s="224">
        <v>9.5</v>
      </c>
      <c r="H192" s="223">
        <v>637</v>
      </c>
      <c r="I192" s="223">
        <v>167</v>
      </c>
      <c r="J192" s="221" t="s">
        <v>1969</v>
      </c>
      <c r="K192" s="222">
        <v>0</v>
      </c>
    </row>
    <row r="193" spans="1:11">
      <c r="A193" s="221">
        <v>3.74004</v>
      </c>
      <c r="B193" s="221" t="s">
        <v>2269</v>
      </c>
      <c r="C193" s="222" t="s">
        <v>2270</v>
      </c>
      <c r="D193" s="221" t="s">
        <v>2034</v>
      </c>
      <c r="E193" s="223" t="s">
        <v>1958</v>
      </c>
      <c r="F193" s="223">
        <v>213</v>
      </c>
      <c r="G193" s="224">
        <v>12.5</v>
      </c>
      <c r="H193" s="223">
        <v>6653</v>
      </c>
      <c r="I193" s="223" t="s">
        <v>30</v>
      </c>
      <c r="J193" s="221" t="s">
        <v>1962</v>
      </c>
      <c r="K193" s="222" t="s">
        <v>2218</v>
      </c>
    </row>
    <row r="194" spans="1:11">
      <c r="A194" s="221">
        <v>3.7400600000000002</v>
      </c>
      <c r="B194" s="221" t="s">
        <v>2271</v>
      </c>
      <c r="C194" s="222" t="s">
        <v>2272</v>
      </c>
      <c r="D194" s="221" t="s">
        <v>397</v>
      </c>
      <c r="E194" s="223" t="s">
        <v>1958</v>
      </c>
      <c r="F194" s="223">
        <v>30</v>
      </c>
      <c r="G194" s="224">
        <v>9.58</v>
      </c>
      <c r="H194" s="223">
        <v>290</v>
      </c>
      <c r="I194" s="223">
        <v>63</v>
      </c>
      <c r="J194" s="221" t="s">
        <v>1959</v>
      </c>
      <c r="K194" s="222">
        <v>0</v>
      </c>
    </row>
    <row r="195" spans="1:11">
      <c r="A195" s="221">
        <v>3.7400600000000002</v>
      </c>
      <c r="B195" s="221" t="s">
        <v>2273</v>
      </c>
      <c r="C195" s="222" t="s">
        <v>784</v>
      </c>
      <c r="D195" s="221" t="s">
        <v>397</v>
      </c>
      <c r="E195" s="223" t="s">
        <v>1958</v>
      </c>
      <c r="F195" s="223">
        <v>41</v>
      </c>
      <c r="G195" s="224">
        <v>9.58</v>
      </c>
      <c r="H195" s="223">
        <v>393</v>
      </c>
      <c r="I195" s="223">
        <v>76</v>
      </c>
      <c r="J195" s="221" t="s">
        <v>1969</v>
      </c>
      <c r="K195" s="222">
        <v>0</v>
      </c>
    </row>
    <row r="196" spans="1:11">
      <c r="A196" s="221">
        <v>3.7400699999999998</v>
      </c>
      <c r="B196" s="221" t="s">
        <v>2274</v>
      </c>
      <c r="C196" s="222" t="s">
        <v>2275</v>
      </c>
      <c r="D196" s="221" t="s">
        <v>2034</v>
      </c>
      <c r="E196" s="223" t="s">
        <v>1958</v>
      </c>
      <c r="F196" s="223">
        <v>385</v>
      </c>
      <c r="G196" s="224">
        <v>9.5</v>
      </c>
      <c r="H196" s="223">
        <v>5408</v>
      </c>
      <c r="I196" s="223">
        <v>15</v>
      </c>
      <c r="J196" s="221" t="s">
        <v>1962</v>
      </c>
      <c r="K196" s="222">
        <v>0</v>
      </c>
    </row>
    <row r="197" spans="1:11">
      <c r="A197" s="221">
        <v>3.7800099999999999</v>
      </c>
      <c r="B197" s="221" t="s">
        <v>2276</v>
      </c>
      <c r="C197" s="222" t="s">
        <v>751</v>
      </c>
      <c r="D197" s="221" t="s">
        <v>1957</v>
      </c>
      <c r="E197" s="223" t="s">
        <v>1958</v>
      </c>
      <c r="F197" s="223">
        <v>16</v>
      </c>
      <c r="G197" s="224">
        <v>9.83</v>
      </c>
      <c r="H197" s="223">
        <v>157</v>
      </c>
      <c r="I197" s="223">
        <v>93</v>
      </c>
      <c r="J197" s="221" t="s">
        <v>1969</v>
      </c>
      <c r="K197" s="222">
        <v>0</v>
      </c>
    </row>
    <row r="198" spans="1:11">
      <c r="A198" s="221">
        <v>3.7800099999999999</v>
      </c>
      <c r="B198" s="221" t="s">
        <v>2277</v>
      </c>
      <c r="C198" s="222" t="s">
        <v>751</v>
      </c>
      <c r="D198" s="221" t="s">
        <v>1989</v>
      </c>
      <c r="E198" s="223" t="s">
        <v>1958</v>
      </c>
      <c r="F198" s="223">
        <v>17</v>
      </c>
      <c r="G198" s="224">
        <v>9.33</v>
      </c>
      <c r="H198" s="223">
        <v>156</v>
      </c>
      <c r="I198" s="223">
        <v>59</v>
      </c>
      <c r="J198" s="221" t="s">
        <v>1959</v>
      </c>
      <c r="K198" s="222">
        <v>0</v>
      </c>
    </row>
    <row r="199" spans="1:11">
      <c r="A199" s="221">
        <v>3.7800099999999999</v>
      </c>
      <c r="B199" s="221" t="s">
        <v>2278</v>
      </c>
      <c r="C199" s="222" t="s">
        <v>2279</v>
      </c>
      <c r="D199" s="221" t="s">
        <v>1989</v>
      </c>
      <c r="E199" s="223" t="s">
        <v>1958</v>
      </c>
      <c r="F199" s="223">
        <v>14</v>
      </c>
      <c r="G199" s="224">
        <v>9.33</v>
      </c>
      <c r="H199" s="223">
        <v>131</v>
      </c>
      <c r="I199" s="223">
        <v>95</v>
      </c>
      <c r="J199" s="221" t="s">
        <v>1969</v>
      </c>
      <c r="K199" s="222">
        <v>0</v>
      </c>
    </row>
    <row r="200" spans="1:11">
      <c r="A200" s="221">
        <v>3.7800099999999999</v>
      </c>
      <c r="B200" s="221" t="s">
        <v>2280</v>
      </c>
      <c r="C200" s="222" t="s">
        <v>751</v>
      </c>
      <c r="D200" s="221" t="s">
        <v>1989</v>
      </c>
      <c r="E200" s="223" t="s">
        <v>1958</v>
      </c>
      <c r="F200" s="223">
        <v>16</v>
      </c>
      <c r="G200" s="224">
        <v>9.33</v>
      </c>
      <c r="H200" s="223">
        <v>149</v>
      </c>
      <c r="I200" s="223">
        <v>115</v>
      </c>
      <c r="J200" s="221" t="s">
        <v>1959</v>
      </c>
      <c r="K200" s="222">
        <v>0</v>
      </c>
    </row>
    <row r="201" spans="1:11">
      <c r="A201" s="221">
        <v>3.7800099999999999</v>
      </c>
      <c r="B201" s="221" t="s">
        <v>2281</v>
      </c>
      <c r="C201" s="222" t="s">
        <v>2279</v>
      </c>
      <c r="D201" s="221" t="s">
        <v>397</v>
      </c>
      <c r="E201" s="223" t="s">
        <v>1958</v>
      </c>
      <c r="F201" s="223">
        <v>20</v>
      </c>
      <c r="G201" s="224">
        <v>9.58</v>
      </c>
      <c r="H201" s="223">
        <v>192</v>
      </c>
      <c r="I201" s="223">
        <v>64</v>
      </c>
      <c r="J201" s="221" t="s">
        <v>1969</v>
      </c>
      <c r="K201" s="222">
        <v>0</v>
      </c>
    </row>
    <row r="202" spans="1:11">
      <c r="A202" s="221">
        <v>3.7800099999999999</v>
      </c>
      <c r="B202" s="221" t="s">
        <v>2282</v>
      </c>
      <c r="C202" s="222" t="s">
        <v>2279</v>
      </c>
      <c r="D202" s="221" t="s">
        <v>2034</v>
      </c>
      <c r="E202" s="223" t="s">
        <v>1958</v>
      </c>
      <c r="F202" s="223">
        <v>17</v>
      </c>
      <c r="G202" s="224">
        <v>9.5</v>
      </c>
      <c r="H202" s="223">
        <v>277</v>
      </c>
      <c r="I202" s="223">
        <v>36</v>
      </c>
      <c r="J202" s="221" t="s">
        <v>1959</v>
      </c>
      <c r="K202" s="222">
        <v>0</v>
      </c>
    </row>
    <row r="203" spans="1:11">
      <c r="A203" s="221">
        <v>3.7800099999999999</v>
      </c>
      <c r="B203" s="221" t="s">
        <v>2283</v>
      </c>
      <c r="C203" s="222" t="s">
        <v>2279</v>
      </c>
      <c r="D203" s="221" t="s">
        <v>2034</v>
      </c>
      <c r="E203" s="223" t="s">
        <v>1958</v>
      </c>
      <c r="F203" s="223">
        <v>16</v>
      </c>
      <c r="G203" s="224">
        <v>9.5</v>
      </c>
      <c r="H203" s="223">
        <v>151</v>
      </c>
      <c r="I203" s="223">
        <v>61</v>
      </c>
      <c r="J203" s="221" t="s">
        <v>1969</v>
      </c>
      <c r="K203" s="222">
        <v>0</v>
      </c>
    </row>
    <row r="204" spans="1:11">
      <c r="A204" s="221">
        <v>3.7800099999999999</v>
      </c>
      <c r="B204" s="221" t="s">
        <v>2284</v>
      </c>
      <c r="C204" s="222" t="s">
        <v>2279</v>
      </c>
      <c r="D204" s="221" t="s">
        <v>2034</v>
      </c>
      <c r="E204" s="223" t="s">
        <v>1958</v>
      </c>
      <c r="F204" s="223">
        <v>14</v>
      </c>
      <c r="G204" s="224">
        <v>9.5</v>
      </c>
      <c r="H204" s="223">
        <v>120</v>
      </c>
      <c r="I204" s="223">
        <v>124</v>
      </c>
      <c r="J204" s="221" t="s">
        <v>1959</v>
      </c>
      <c r="K204" s="222">
        <v>0</v>
      </c>
    </row>
    <row r="205" spans="1:11">
      <c r="A205" s="221">
        <v>3.7800099999999999</v>
      </c>
      <c r="B205" s="221" t="s">
        <v>2285</v>
      </c>
      <c r="C205" s="222" t="s">
        <v>2279</v>
      </c>
      <c r="D205" s="221" t="s">
        <v>2034</v>
      </c>
      <c r="E205" s="223" t="s">
        <v>1958</v>
      </c>
      <c r="F205" s="223">
        <v>22</v>
      </c>
      <c r="G205" s="224">
        <v>9.5</v>
      </c>
      <c r="H205" s="223">
        <v>207</v>
      </c>
      <c r="I205" s="223">
        <v>164</v>
      </c>
      <c r="J205" s="221" t="s">
        <v>1969</v>
      </c>
      <c r="K205" s="222">
        <v>0</v>
      </c>
    </row>
    <row r="206" spans="1:11">
      <c r="A206" s="221">
        <v>3.7800099999999999</v>
      </c>
      <c r="B206" s="221" t="s">
        <v>2286</v>
      </c>
      <c r="C206" s="222" t="s">
        <v>751</v>
      </c>
      <c r="D206" s="221" t="s">
        <v>1974</v>
      </c>
      <c r="E206" s="223" t="s">
        <v>1958</v>
      </c>
      <c r="F206" s="223">
        <v>22</v>
      </c>
      <c r="G206" s="224">
        <v>9.17</v>
      </c>
      <c r="H206" s="223">
        <v>273</v>
      </c>
      <c r="I206" s="223">
        <v>52</v>
      </c>
      <c r="J206" s="221" t="s">
        <v>1969</v>
      </c>
      <c r="K206" s="222">
        <v>0</v>
      </c>
    </row>
    <row r="207" spans="1:11">
      <c r="A207" s="221">
        <v>3.7800099999999999</v>
      </c>
      <c r="B207" s="221" t="s">
        <v>2287</v>
      </c>
      <c r="C207" s="222" t="s">
        <v>751</v>
      </c>
      <c r="D207" s="221" t="s">
        <v>1974</v>
      </c>
      <c r="E207" s="223" t="s">
        <v>1958</v>
      </c>
      <c r="F207" s="223">
        <v>16</v>
      </c>
      <c r="G207" s="224">
        <v>9.42</v>
      </c>
      <c r="H207" s="223">
        <v>215</v>
      </c>
      <c r="I207" s="223">
        <v>146</v>
      </c>
      <c r="J207" s="221" t="s">
        <v>1962</v>
      </c>
      <c r="K207" s="222">
        <v>0</v>
      </c>
    </row>
    <row r="208" spans="1:11">
      <c r="A208" s="221">
        <v>3.8210099999999998</v>
      </c>
      <c r="B208" s="221" t="s">
        <v>2288</v>
      </c>
      <c r="C208" s="222" t="s">
        <v>2289</v>
      </c>
      <c r="D208" s="221" t="s">
        <v>1957</v>
      </c>
      <c r="E208" s="223" t="s">
        <v>1958</v>
      </c>
      <c r="F208" s="223">
        <v>339</v>
      </c>
      <c r="G208" s="224">
        <v>9.8332999999999995</v>
      </c>
      <c r="H208" s="223">
        <v>3334</v>
      </c>
      <c r="I208" s="223">
        <v>59</v>
      </c>
      <c r="J208" s="221" t="s">
        <v>1969</v>
      </c>
      <c r="K208" s="222">
        <v>0</v>
      </c>
    </row>
    <row r="209" spans="1:11">
      <c r="A209" s="221">
        <v>3.8210099999999998</v>
      </c>
      <c r="B209" s="221" t="s">
        <v>2290</v>
      </c>
      <c r="C209" s="222" t="s">
        <v>2289</v>
      </c>
      <c r="D209" s="221" t="s">
        <v>1989</v>
      </c>
      <c r="E209" s="223" t="s">
        <v>1958</v>
      </c>
      <c r="F209" s="223">
        <v>297</v>
      </c>
      <c r="G209" s="224">
        <v>9.33</v>
      </c>
      <c r="H209" s="223">
        <v>2771</v>
      </c>
      <c r="I209" s="223">
        <v>56</v>
      </c>
      <c r="J209" s="221" t="s">
        <v>1962</v>
      </c>
      <c r="K209" s="222">
        <v>0</v>
      </c>
    </row>
    <row r="210" spans="1:11">
      <c r="A210" s="221">
        <v>3.8210099999999998</v>
      </c>
      <c r="B210" s="221" t="s">
        <v>2291</v>
      </c>
      <c r="C210" s="222" t="s">
        <v>2289</v>
      </c>
      <c r="D210" s="221" t="s">
        <v>1989</v>
      </c>
      <c r="E210" s="223" t="s">
        <v>1958</v>
      </c>
      <c r="F210" s="223">
        <v>275</v>
      </c>
      <c r="G210" s="224">
        <v>9.33</v>
      </c>
      <c r="H210" s="223">
        <v>2556</v>
      </c>
      <c r="I210" s="223">
        <v>67</v>
      </c>
      <c r="J210" s="221" t="s">
        <v>1969</v>
      </c>
      <c r="K210" s="222">
        <v>0</v>
      </c>
    </row>
    <row r="211" spans="1:11">
      <c r="A211" s="221">
        <v>3.8210099999999998</v>
      </c>
      <c r="B211" s="221" t="s">
        <v>2292</v>
      </c>
      <c r="C211" s="222" t="s">
        <v>2289</v>
      </c>
      <c r="D211" s="221" t="s">
        <v>1989</v>
      </c>
      <c r="E211" s="223" t="s">
        <v>1958</v>
      </c>
      <c r="F211" s="223">
        <v>104</v>
      </c>
      <c r="G211" s="224">
        <v>9.33</v>
      </c>
      <c r="H211" s="223">
        <v>970</v>
      </c>
      <c r="I211" s="223">
        <v>80</v>
      </c>
      <c r="J211" s="221" t="s">
        <v>1959</v>
      </c>
      <c r="K211" s="222">
        <v>0</v>
      </c>
    </row>
    <row r="212" spans="1:11">
      <c r="A212" s="221">
        <v>3.8210099999999998</v>
      </c>
      <c r="B212" s="221" t="s">
        <v>2293</v>
      </c>
      <c r="C212" s="222" t="s">
        <v>2289</v>
      </c>
      <c r="D212" s="221" t="s">
        <v>1989</v>
      </c>
      <c r="E212" s="223" t="s">
        <v>1958</v>
      </c>
      <c r="F212" s="223">
        <v>375</v>
      </c>
      <c r="G212" s="224">
        <v>9.33</v>
      </c>
      <c r="H212" s="223">
        <v>3499</v>
      </c>
      <c r="I212" s="223">
        <v>95</v>
      </c>
      <c r="J212" s="221" t="s">
        <v>1962</v>
      </c>
      <c r="K212" s="222">
        <v>0</v>
      </c>
    </row>
    <row r="213" spans="1:11">
      <c r="A213" s="221">
        <v>3.8210099999999998</v>
      </c>
      <c r="B213" s="221" t="s">
        <v>2294</v>
      </c>
      <c r="C213" s="222" t="s">
        <v>2295</v>
      </c>
      <c r="D213" s="221" t="s">
        <v>397</v>
      </c>
      <c r="E213" s="223" t="s">
        <v>1958</v>
      </c>
      <c r="F213" s="223">
        <v>732</v>
      </c>
      <c r="G213" s="224">
        <v>9.58</v>
      </c>
      <c r="H213" s="223">
        <v>7013</v>
      </c>
      <c r="I213" s="223">
        <v>36</v>
      </c>
      <c r="J213" s="221" t="s">
        <v>1959</v>
      </c>
      <c r="K213" s="222">
        <v>0</v>
      </c>
    </row>
    <row r="214" spans="1:11">
      <c r="A214" s="221">
        <v>3.8210099999999998</v>
      </c>
      <c r="B214" s="221" t="s">
        <v>2296</v>
      </c>
      <c r="C214" s="222" t="s">
        <v>2289</v>
      </c>
      <c r="D214" s="221" t="s">
        <v>397</v>
      </c>
      <c r="E214" s="223" t="s">
        <v>1958</v>
      </c>
      <c r="F214" s="223">
        <v>276</v>
      </c>
      <c r="G214" s="224">
        <v>9.58</v>
      </c>
      <c r="H214" s="223">
        <v>2644</v>
      </c>
      <c r="I214" s="223">
        <v>56</v>
      </c>
      <c r="J214" s="221" t="s">
        <v>1962</v>
      </c>
      <c r="K214" s="222">
        <v>0</v>
      </c>
    </row>
    <row r="215" spans="1:11">
      <c r="A215" s="221">
        <v>3.8210099999999998</v>
      </c>
      <c r="B215" s="221" t="s">
        <v>2297</v>
      </c>
      <c r="C215" s="222" t="s">
        <v>2289</v>
      </c>
      <c r="D215" s="221" t="s">
        <v>397</v>
      </c>
      <c r="E215" s="223" t="s">
        <v>1958</v>
      </c>
      <c r="F215" s="223">
        <v>100</v>
      </c>
      <c r="G215" s="224">
        <v>9.58</v>
      </c>
      <c r="H215" s="223">
        <v>958</v>
      </c>
      <c r="I215" s="223">
        <v>93</v>
      </c>
      <c r="J215" s="221" t="s">
        <v>1962</v>
      </c>
      <c r="K215" s="222">
        <v>0</v>
      </c>
    </row>
    <row r="216" spans="1:11">
      <c r="A216" s="221">
        <v>3.8210099999999998</v>
      </c>
      <c r="B216" s="221" t="s">
        <v>2298</v>
      </c>
      <c r="C216" s="222" t="s">
        <v>2295</v>
      </c>
      <c r="D216" s="221" t="s">
        <v>397</v>
      </c>
      <c r="E216" s="223" t="s">
        <v>1958</v>
      </c>
      <c r="F216" s="223">
        <v>162</v>
      </c>
      <c r="G216" s="224">
        <v>9.58</v>
      </c>
      <c r="H216" s="223">
        <v>1600</v>
      </c>
      <c r="I216" s="223">
        <v>95</v>
      </c>
      <c r="J216" s="221" t="s">
        <v>1959</v>
      </c>
      <c r="K216" s="222">
        <v>0</v>
      </c>
    </row>
    <row r="217" spans="1:11">
      <c r="A217" s="221">
        <v>3.8210099999999998</v>
      </c>
      <c r="B217" s="221" t="s">
        <v>2299</v>
      </c>
      <c r="C217" s="222" t="s">
        <v>2289</v>
      </c>
      <c r="D217" s="221" t="s">
        <v>2034</v>
      </c>
      <c r="E217" s="223" t="s">
        <v>1958</v>
      </c>
      <c r="F217" s="223">
        <v>465</v>
      </c>
      <c r="G217" s="224">
        <v>9.5</v>
      </c>
      <c r="H217" s="223">
        <v>4600</v>
      </c>
      <c r="I217" s="223">
        <v>26</v>
      </c>
      <c r="J217" s="221" t="s">
        <v>1962</v>
      </c>
      <c r="K217" s="222" t="s">
        <v>2218</v>
      </c>
    </row>
    <row r="218" spans="1:11">
      <c r="A218" s="221">
        <v>3.8210099999999998</v>
      </c>
      <c r="B218" s="221" t="s">
        <v>2300</v>
      </c>
      <c r="C218" s="222" t="s">
        <v>2289</v>
      </c>
      <c r="D218" s="221" t="s">
        <v>2034</v>
      </c>
      <c r="E218" s="223" t="s">
        <v>1958</v>
      </c>
      <c r="F218" s="223">
        <v>630</v>
      </c>
      <c r="G218" s="224">
        <v>9.5</v>
      </c>
      <c r="H218" s="223">
        <v>6083</v>
      </c>
      <c r="I218" s="223">
        <v>42</v>
      </c>
      <c r="J218" s="221" t="s">
        <v>1962</v>
      </c>
      <c r="K218" s="222">
        <v>0</v>
      </c>
    </row>
    <row r="219" spans="1:11">
      <c r="A219" s="221">
        <v>3.8210099999999998</v>
      </c>
      <c r="B219" s="221" t="s">
        <v>2301</v>
      </c>
      <c r="C219" s="222" t="s">
        <v>2289</v>
      </c>
      <c r="D219" s="221" t="s">
        <v>2034</v>
      </c>
      <c r="E219" s="223" t="s">
        <v>1958</v>
      </c>
      <c r="F219" s="223">
        <v>301</v>
      </c>
      <c r="G219" s="224">
        <v>9.5</v>
      </c>
      <c r="H219" s="223">
        <v>2764</v>
      </c>
      <c r="I219" s="223">
        <v>65</v>
      </c>
      <c r="J219" s="221" t="s">
        <v>1969</v>
      </c>
      <c r="K219" s="222">
        <v>0</v>
      </c>
    </row>
    <row r="220" spans="1:11">
      <c r="A220" s="221">
        <v>3.8210099999999998</v>
      </c>
      <c r="B220" s="221" t="s">
        <v>2302</v>
      </c>
      <c r="C220" s="222" t="s">
        <v>2289</v>
      </c>
      <c r="D220" s="221" t="s">
        <v>2034</v>
      </c>
      <c r="E220" s="223" t="s">
        <v>1958</v>
      </c>
      <c r="F220" s="223">
        <v>296</v>
      </c>
      <c r="G220" s="224">
        <v>9.5</v>
      </c>
      <c r="H220" s="223">
        <v>2721</v>
      </c>
      <c r="I220" s="223">
        <v>65</v>
      </c>
      <c r="J220" s="221" t="s">
        <v>1959</v>
      </c>
      <c r="K220" s="222">
        <v>0</v>
      </c>
    </row>
    <row r="221" spans="1:11">
      <c r="A221" s="221">
        <v>3.8210099999999998</v>
      </c>
      <c r="B221" s="221" t="s">
        <v>2303</v>
      </c>
      <c r="C221" s="222" t="s">
        <v>2289</v>
      </c>
      <c r="D221" s="221" t="s">
        <v>2034</v>
      </c>
      <c r="E221" s="223" t="s">
        <v>1958</v>
      </c>
      <c r="F221" s="223">
        <v>677</v>
      </c>
      <c r="G221" s="224">
        <v>9.5</v>
      </c>
      <c r="H221" s="223">
        <v>6483</v>
      </c>
      <c r="I221" s="223">
        <v>121</v>
      </c>
      <c r="J221" s="221" t="s">
        <v>1962</v>
      </c>
      <c r="K221" s="222">
        <v>0</v>
      </c>
    </row>
    <row r="222" spans="1:11">
      <c r="A222" s="221">
        <v>3.8210099999999998</v>
      </c>
      <c r="B222" s="221" t="s">
        <v>2304</v>
      </c>
      <c r="C222" s="222" t="s">
        <v>2289</v>
      </c>
      <c r="D222" s="221" t="s">
        <v>2034</v>
      </c>
      <c r="E222" s="223" t="s">
        <v>1958</v>
      </c>
      <c r="F222" s="223">
        <v>782</v>
      </c>
      <c r="G222" s="224">
        <v>9.5</v>
      </c>
      <c r="H222" s="223">
        <v>8101</v>
      </c>
      <c r="I222" s="223">
        <v>144</v>
      </c>
      <c r="J222" s="221" t="s">
        <v>1962</v>
      </c>
      <c r="K222" s="222">
        <v>0</v>
      </c>
    </row>
    <row r="223" spans="1:11">
      <c r="A223" s="221">
        <v>3.8210099999999998</v>
      </c>
      <c r="B223" s="221" t="s">
        <v>2305</v>
      </c>
      <c r="C223" s="222" t="s">
        <v>2289</v>
      </c>
      <c r="D223" s="221" t="s">
        <v>2034</v>
      </c>
      <c r="E223" s="223" t="s">
        <v>1958</v>
      </c>
      <c r="F223" s="223">
        <v>329</v>
      </c>
      <c r="G223" s="224">
        <v>9.5</v>
      </c>
      <c r="H223" s="223">
        <v>3541</v>
      </c>
      <c r="I223" s="223">
        <v>167</v>
      </c>
      <c r="J223" s="221" t="s">
        <v>1962</v>
      </c>
      <c r="K223" s="222">
        <v>0</v>
      </c>
    </row>
    <row r="224" spans="1:11">
      <c r="A224" s="221">
        <v>3.8210099999999998</v>
      </c>
      <c r="B224" s="221" t="s">
        <v>2306</v>
      </c>
      <c r="C224" s="222" t="s">
        <v>2289</v>
      </c>
      <c r="D224" s="221" t="s">
        <v>1974</v>
      </c>
      <c r="E224" s="223" t="s">
        <v>1958</v>
      </c>
      <c r="F224" s="223">
        <v>364</v>
      </c>
      <c r="G224" s="224">
        <v>9.17</v>
      </c>
      <c r="H224" s="223">
        <v>3374</v>
      </c>
      <c r="I224" s="223">
        <v>48</v>
      </c>
      <c r="J224" s="221" t="s">
        <v>1962</v>
      </c>
      <c r="K224" s="222">
        <v>0</v>
      </c>
    </row>
    <row r="225" spans="1:11">
      <c r="A225" s="221">
        <v>3.8210099999999998</v>
      </c>
      <c r="B225" s="221" t="s">
        <v>2307</v>
      </c>
      <c r="C225" s="222" t="s">
        <v>2289</v>
      </c>
      <c r="D225" s="221" t="s">
        <v>1974</v>
      </c>
      <c r="E225" s="223" t="s">
        <v>1958</v>
      </c>
      <c r="F225" s="223">
        <v>396</v>
      </c>
      <c r="G225" s="224">
        <v>9.26</v>
      </c>
      <c r="H225" s="223">
        <v>4595</v>
      </c>
      <c r="I225" s="223">
        <v>144</v>
      </c>
      <c r="J225" s="221" t="s">
        <v>1962</v>
      </c>
      <c r="K225" s="222" t="s">
        <v>1975</v>
      </c>
    </row>
    <row r="226" spans="1:11">
      <c r="A226" s="221">
        <v>3.8210099999999998</v>
      </c>
      <c r="B226" s="221" t="s">
        <v>2308</v>
      </c>
      <c r="C226" s="222" t="s">
        <v>2289</v>
      </c>
      <c r="D226" s="221" t="s">
        <v>1974</v>
      </c>
      <c r="E226" s="223" t="s">
        <v>1958</v>
      </c>
      <c r="F226" s="223">
        <v>39</v>
      </c>
      <c r="G226" s="224">
        <v>7.48</v>
      </c>
      <c r="H226" s="223">
        <v>292</v>
      </c>
      <c r="I226" s="223">
        <v>169</v>
      </c>
      <c r="J226" s="221" t="s">
        <v>1959</v>
      </c>
      <c r="K226" s="222">
        <v>0</v>
      </c>
    </row>
    <row r="227" spans="1:11">
      <c r="A227" s="221">
        <v>3.8210299999999999</v>
      </c>
      <c r="B227" s="221" t="s">
        <v>2309</v>
      </c>
      <c r="C227" s="222" t="s">
        <v>673</v>
      </c>
      <c r="D227" s="221" t="s">
        <v>1957</v>
      </c>
      <c r="E227" s="223" t="s">
        <v>1958</v>
      </c>
      <c r="F227" s="223" t="s">
        <v>1958</v>
      </c>
      <c r="G227" s="224">
        <v>9.8332999999999995</v>
      </c>
      <c r="H227" s="223">
        <v>541</v>
      </c>
      <c r="I227" s="223">
        <v>62</v>
      </c>
      <c r="J227" s="221" t="s">
        <v>1969</v>
      </c>
      <c r="K227" s="222">
        <v>0</v>
      </c>
    </row>
    <row r="228" spans="1:11">
      <c r="A228" s="221">
        <v>3.8210299999999999</v>
      </c>
      <c r="B228" s="221" t="s">
        <v>2310</v>
      </c>
      <c r="C228" s="222" t="s">
        <v>673</v>
      </c>
      <c r="D228" s="221" t="s">
        <v>1957</v>
      </c>
      <c r="E228" s="223" t="s">
        <v>1958</v>
      </c>
      <c r="F228" s="223">
        <v>39</v>
      </c>
      <c r="G228" s="224">
        <v>9.8332999999999995</v>
      </c>
      <c r="H228" s="223">
        <v>383</v>
      </c>
      <c r="I228" s="223">
        <v>93</v>
      </c>
      <c r="J228" s="221" t="s">
        <v>1969</v>
      </c>
      <c r="K228" s="222">
        <v>0</v>
      </c>
    </row>
    <row r="229" spans="1:11">
      <c r="A229" s="221">
        <v>3.8210299999999999</v>
      </c>
      <c r="B229" s="221" t="s">
        <v>2311</v>
      </c>
      <c r="C229" s="222" t="s">
        <v>673</v>
      </c>
      <c r="D229" s="221" t="s">
        <v>1989</v>
      </c>
      <c r="E229" s="223" t="s">
        <v>1958</v>
      </c>
      <c r="F229" s="223" t="s">
        <v>1958</v>
      </c>
      <c r="G229" s="224">
        <v>9.33</v>
      </c>
      <c r="H229" s="223">
        <v>410</v>
      </c>
      <c r="I229" s="223">
        <v>56</v>
      </c>
      <c r="J229" s="221" t="s">
        <v>1959</v>
      </c>
      <c r="K229" s="222">
        <v>0</v>
      </c>
    </row>
    <row r="230" spans="1:11">
      <c r="A230" s="221">
        <v>3.8210299999999999</v>
      </c>
      <c r="B230" s="221" t="s">
        <v>2312</v>
      </c>
      <c r="C230" s="222" t="s">
        <v>673</v>
      </c>
      <c r="D230" s="221" t="s">
        <v>1989</v>
      </c>
      <c r="E230" s="223" t="s">
        <v>1958</v>
      </c>
      <c r="F230" s="223" t="s">
        <v>1958</v>
      </c>
      <c r="G230" s="224">
        <v>9.33</v>
      </c>
      <c r="H230" s="223">
        <v>429</v>
      </c>
      <c r="I230" s="223">
        <v>59</v>
      </c>
      <c r="J230" s="221" t="s">
        <v>1969</v>
      </c>
      <c r="K230" s="222">
        <v>0</v>
      </c>
    </row>
    <row r="231" spans="1:11">
      <c r="A231" s="221">
        <v>3.8210299999999999</v>
      </c>
      <c r="B231" s="221" t="s">
        <v>2313</v>
      </c>
      <c r="C231" s="222" t="s">
        <v>673</v>
      </c>
      <c r="D231" s="221" t="s">
        <v>1989</v>
      </c>
      <c r="E231" s="223" t="s">
        <v>1958</v>
      </c>
      <c r="F231" s="223" t="s">
        <v>1958</v>
      </c>
      <c r="G231" s="224">
        <v>9.33</v>
      </c>
      <c r="H231" s="223">
        <v>457</v>
      </c>
      <c r="I231" s="223">
        <v>62</v>
      </c>
      <c r="J231" s="221" t="s">
        <v>1969</v>
      </c>
      <c r="K231" s="222">
        <v>0</v>
      </c>
    </row>
    <row r="232" spans="1:11">
      <c r="A232" s="221">
        <v>3.8210299999999999</v>
      </c>
      <c r="B232" s="221" t="s">
        <v>2314</v>
      </c>
      <c r="C232" s="222" t="s">
        <v>673</v>
      </c>
      <c r="D232" s="221" t="s">
        <v>397</v>
      </c>
      <c r="E232" s="223" t="s">
        <v>1958</v>
      </c>
      <c r="F232" s="223" t="s">
        <v>1958</v>
      </c>
      <c r="G232" s="224">
        <v>9.58</v>
      </c>
      <c r="H232" s="223">
        <v>1265</v>
      </c>
      <c r="I232" s="223">
        <v>54</v>
      </c>
      <c r="J232" s="221" t="s">
        <v>1959</v>
      </c>
      <c r="K232" s="222">
        <v>0</v>
      </c>
    </row>
    <row r="233" spans="1:11">
      <c r="A233" s="221">
        <v>3.8210299999999999</v>
      </c>
      <c r="B233" s="221" t="s">
        <v>2315</v>
      </c>
      <c r="C233" s="222" t="s">
        <v>673</v>
      </c>
      <c r="D233" s="221" t="s">
        <v>397</v>
      </c>
      <c r="E233" s="223" t="s">
        <v>1958</v>
      </c>
      <c r="F233" s="223" t="s">
        <v>1958</v>
      </c>
      <c r="G233" s="224">
        <v>9.58</v>
      </c>
      <c r="H233" s="223">
        <v>671</v>
      </c>
      <c r="I233" s="223">
        <v>101</v>
      </c>
      <c r="J233" s="221" t="s">
        <v>1959</v>
      </c>
      <c r="K233" s="222">
        <v>0</v>
      </c>
    </row>
    <row r="234" spans="1:11">
      <c r="A234" s="221">
        <v>3.8210299999999999</v>
      </c>
      <c r="B234" s="221" t="s">
        <v>2316</v>
      </c>
      <c r="C234" s="222" t="s">
        <v>673</v>
      </c>
      <c r="D234" s="221" t="s">
        <v>2034</v>
      </c>
      <c r="E234" s="223" t="s">
        <v>1958</v>
      </c>
      <c r="F234" s="223" t="s">
        <v>1958</v>
      </c>
      <c r="G234" s="224">
        <v>10.23</v>
      </c>
      <c r="H234" s="223">
        <v>1560</v>
      </c>
      <c r="I234" s="223">
        <v>21</v>
      </c>
      <c r="J234" s="221" t="s">
        <v>1959</v>
      </c>
      <c r="K234" s="222" t="s">
        <v>2218</v>
      </c>
    </row>
    <row r="235" spans="1:11">
      <c r="A235" s="221">
        <v>3.8210299999999999</v>
      </c>
      <c r="B235" s="221" t="s">
        <v>2317</v>
      </c>
      <c r="C235" s="222" t="s">
        <v>673</v>
      </c>
      <c r="D235" s="221" t="s">
        <v>2034</v>
      </c>
      <c r="E235" s="223" t="s">
        <v>1958</v>
      </c>
      <c r="F235" s="223" t="s">
        <v>1958</v>
      </c>
      <c r="G235" s="224">
        <v>9.5</v>
      </c>
      <c r="H235" s="223">
        <v>372</v>
      </c>
      <c r="I235" s="223">
        <v>83</v>
      </c>
      <c r="J235" s="221" t="s">
        <v>1969</v>
      </c>
      <c r="K235" s="222">
        <v>0</v>
      </c>
    </row>
    <row r="236" spans="1:11">
      <c r="A236" s="221">
        <v>3.8210299999999999</v>
      </c>
      <c r="B236" s="221" t="s">
        <v>2318</v>
      </c>
      <c r="C236" s="222" t="s">
        <v>673</v>
      </c>
      <c r="D236" s="221" t="s">
        <v>2034</v>
      </c>
      <c r="E236" s="223" t="s">
        <v>1958</v>
      </c>
      <c r="F236" s="223" t="s">
        <v>1958</v>
      </c>
      <c r="G236" s="224">
        <v>9.5</v>
      </c>
      <c r="H236" s="223">
        <v>366</v>
      </c>
      <c r="I236" s="223">
        <v>95</v>
      </c>
      <c r="J236" s="221" t="s">
        <v>1969</v>
      </c>
      <c r="K236" s="222">
        <v>0</v>
      </c>
    </row>
    <row r="237" spans="1:11">
      <c r="A237" s="221">
        <v>3.8210299999999999</v>
      </c>
      <c r="B237" s="221" t="s">
        <v>2319</v>
      </c>
      <c r="C237" s="222" t="s">
        <v>673</v>
      </c>
      <c r="D237" s="221" t="s">
        <v>2034</v>
      </c>
      <c r="E237" s="223" t="s">
        <v>1958</v>
      </c>
      <c r="F237" s="223" t="s">
        <v>2320</v>
      </c>
      <c r="G237" s="224">
        <v>9.5</v>
      </c>
      <c r="H237" s="223">
        <v>506</v>
      </c>
      <c r="I237" s="223">
        <v>121</v>
      </c>
      <c r="J237" s="221" t="s">
        <v>1969</v>
      </c>
      <c r="K237" s="222">
        <v>0</v>
      </c>
    </row>
    <row r="238" spans="1:11">
      <c r="A238" s="221">
        <v>3.8210299999999999</v>
      </c>
      <c r="B238" s="221" t="s">
        <v>2321</v>
      </c>
      <c r="C238" s="222" t="s">
        <v>673</v>
      </c>
      <c r="D238" s="221" t="s">
        <v>2034</v>
      </c>
      <c r="E238" s="223" t="s">
        <v>1958</v>
      </c>
      <c r="F238" s="223" t="s">
        <v>1958</v>
      </c>
      <c r="G238" s="224">
        <v>9.5</v>
      </c>
      <c r="H238" s="223">
        <v>524</v>
      </c>
      <c r="I238" s="223">
        <v>155</v>
      </c>
      <c r="J238" s="221" t="s">
        <v>1969</v>
      </c>
      <c r="K238" s="222">
        <v>0</v>
      </c>
    </row>
    <row r="239" spans="1:11">
      <c r="A239" s="221">
        <v>3.8210500000000001</v>
      </c>
      <c r="B239" s="221" t="s">
        <v>2322</v>
      </c>
      <c r="C239" s="222" t="s">
        <v>2323</v>
      </c>
      <c r="D239" s="221" t="s">
        <v>1957</v>
      </c>
      <c r="E239" s="223" t="s">
        <v>1958</v>
      </c>
      <c r="F239" s="223">
        <v>16</v>
      </c>
      <c r="G239" s="224">
        <v>9.8332999999999995</v>
      </c>
      <c r="H239" s="223">
        <v>128</v>
      </c>
      <c r="I239" s="223">
        <v>57</v>
      </c>
      <c r="J239" s="221" t="s">
        <v>1969</v>
      </c>
      <c r="K239" s="222">
        <v>0</v>
      </c>
    </row>
    <row r="240" spans="1:11">
      <c r="A240" s="221">
        <v>3.8210500000000001</v>
      </c>
      <c r="B240" s="221" t="s">
        <v>2324</v>
      </c>
      <c r="C240" s="222" t="s">
        <v>2323</v>
      </c>
      <c r="D240" s="221" t="s">
        <v>1957</v>
      </c>
      <c r="E240" s="223" t="s">
        <v>1958</v>
      </c>
      <c r="F240" s="223">
        <v>33</v>
      </c>
      <c r="G240" s="224">
        <v>9.8332999999999995</v>
      </c>
      <c r="H240" s="223">
        <v>324</v>
      </c>
      <c r="I240" s="223">
        <v>95</v>
      </c>
      <c r="J240" s="221" t="s">
        <v>1969</v>
      </c>
      <c r="K240" s="222">
        <v>0</v>
      </c>
    </row>
    <row r="241" spans="1:11">
      <c r="A241" s="221">
        <v>3.8210500000000001</v>
      </c>
      <c r="B241" s="221" t="s">
        <v>2325</v>
      </c>
      <c r="C241" s="222" t="s">
        <v>2323</v>
      </c>
      <c r="D241" s="221" t="s">
        <v>1989</v>
      </c>
      <c r="E241" s="223" t="s">
        <v>1958</v>
      </c>
      <c r="F241" s="223">
        <v>13</v>
      </c>
      <c r="G241" s="224">
        <v>9.8332999999999995</v>
      </c>
      <c r="H241" s="223">
        <v>128</v>
      </c>
      <c r="I241" s="223">
        <v>102</v>
      </c>
      <c r="J241" s="221" t="s">
        <v>1969</v>
      </c>
      <c r="K241" s="222">
        <v>0</v>
      </c>
    </row>
    <row r="242" spans="1:11">
      <c r="A242" s="221">
        <v>3.8210500000000001</v>
      </c>
      <c r="B242" s="221" t="s">
        <v>2326</v>
      </c>
      <c r="C242" s="222" t="s">
        <v>2323</v>
      </c>
      <c r="D242" s="221" t="s">
        <v>1989</v>
      </c>
      <c r="E242" s="223" t="s">
        <v>1958</v>
      </c>
      <c r="F242" s="223">
        <v>13</v>
      </c>
      <c r="G242" s="224">
        <v>9.8332999999999995</v>
      </c>
      <c r="H242" s="223">
        <v>128</v>
      </c>
      <c r="I242" s="223">
        <v>102</v>
      </c>
      <c r="J242" s="221" t="s">
        <v>1959</v>
      </c>
      <c r="K242" s="222">
        <v>0</v>
      </c>
    </row>
    <row r="243" spans="1:11">
      <c r="A243" s="221">
        <v>3.8210500000000001</v>
      </c>
      <c r="B243" s="221" t="s">
        <v>2327</v>
      </c>
      <c r="C243" s="222" t="s">
        <v>2323</v>
      </c>
      <c r="D243" s="221" t="s">
        <v>2034</v>
      </c>
      <c r="E243" s="223" t="s">
        <v>1958</v>
      </c>
      <c r="F243" s="223">
        <v>28</v>
      </c>
      <c r="G243" s="224">
        <v>9.5</v>
      </c>
      <c r="H243" s="223">
        <v>258</v>
      </c>
      <c r="I243" s="223">
        <v>174</v>
      </c>
      <c r="J243" s="221" t="s">
        <v>1959</v>
      </c>
      <c r="K243" s="222">
        <v>0</v>
      </c>
    </row>
    <row r="244" spans="1:11">
      <c r="A244" s="221">
        <v>3.8220100000000001</v>
      </c>
      <c r="B244" s="221" t="s">
        <v>2328</v>
      </c>
      <c r="C244" s="222" t="s">
        <v>663</v>
      </c>
      <c r="D244" s="221" t="s">
        <v>1974</v>
      </c>
      <c r="E244" s="223" t="s">
        <v>1958</v>
      </c>
      <c r="F244" s="223" t="s">
        <v>1958</v>
      </c>
      <c r="G244" s="224">
        <v>10.25</v>
      </c>
      <c r="H244" s="223">
        <v>291</v>
      </c>
      <c r="I244" s="223">
        <v>165</v>
      </c>
      <c r="J244" s="221" t="s">
        <v>1959</v>
      </c>
      <c r="K244" s="222">
        <v>0</v>
      </c>
    </row>
    <row r="245" spans="1:11">
      <c r="A245" s="221">
        <v>3.8220100000000001</v>
      </c>
      <c r="B245" s="221" t="s">
        <v>2329</v>
      </c>
      <c r="C245" s="222" t="s">
        <v>663</v>
      </c>
      <c r="D245" s="221" t="s">
        <v>1979</v>
      </c>
      <c r="E245" s="223" t="s">
        <v>1958</v>
      </c>
      <c r="F245" s="223" t="s">
        <v>1958</v>
      </c>
      <c r="G245" s="224" t="s">
        <v>1958</v>
      </c>
      <c r="H245" s="223">
        <v>70</v>
      </c>
      <c r="I245" s="223">
        <v>71</v>
      </c>
      <c r="J245" s="221" t="s">
        <v>1959</v>
      </c>
      <c r="K245" s="222">
        <v>0</v>
      </c>
    </row>
    <row r="246" spans="1:11">
      <c r="A246" s="221">
        <v>3.8220100000000001</v>
      </c>
      <c r="B246" s="221" t="s">
        <v>2330</v>
      </c>
      <c r="C246" s="222" t="s">
        <v>663</v>
      </c>
      <c r="D246" s="221" t="s">
        <v>1979</v>
      </c>
      <c r="E246" s="223" t="s">
        <v>1958</v>
      </c>
      <c r="F246" s="223" t="s">
        <v>1958</v>
      </c>
      <c r="G246" s="224" t="s">
        <v>1958</v>
      </c>
      <c r="H246" s="223">
        <v>572</v>
      </c>
      <c r="I246" s="223">
        <v>119</v>
      </c>
      <c r="J246" s="221" t="s">
        <v>1959</v>
      </c>
      <c r="K246" s="222" t="s">
        <v>2331</v>
      </c>
    </row>
    <row r="247" spans="1:11">
      <c r="A247" s="221">
        <v>3.8220100000000001</v>
      </c>
      <c r="B247" s="221" t="s">
        <v>2332</v>
      </c>
      <c r="C247" s="222" t="s">
        <v>663</v>
      </c>
      <c r="D247" s="221" t="s">
        <v>1979</v>
      </c>
      <c r="E247" s="223" t="s">
        <v>1958</v>
      </c>
      <c r="F247" s="223" t="s">
        <v>1958</v>
      </c>
      <c r="G247" s="224" t="s">
        <v>1958</v>
      </c>
      <c r="H247" s="223">
        <v>704</v>
      </c>
      <c r="I247" s="223">
        <v>133</v>
      </c>
      <c r="J247" s="221" t="s">
        <v>1959</v>
      </c>
      <c r="K247" s="222" t="s">
        <v>2331</v>
      </c>
    </row>
    <row r="248" spans="1:11">
      <c r="A248" s="221">
        <v>3.9110200000000002</v>
      </c>
      <c r="B248" s="221" t="s">
        <v>2333</v>
      </c>
      <c r="C248" s="222" t="s">
        <v>2334</v>
      </c>
      <c r="D248" s="221" t="s">
        <v>1979</v>
      </c>
      <c r="E248" s="223" t="s">
        <v>1958</v>
      </c>
      <c r="F248" s="223" t="s">
        <v>1958</v>
      </c>
      <c r="G248" s="224" t="s">
        <v>1958</v>
      </c>
      <c r="H248" s="223">
        <v>2824</v>
      </c>
      <c r="I248" s="223">
        <v>50</v>
      </c>
      <c r="J248" s="221" t="s">
        <v>1969</v>
      </c>
      <c r="K248" s="222">
        <v>0</v>
      </c>
    </row>
    <row r="249" spans="1:11">
      <c r="A249" s="221">
        <v>3.9110200000000002</v>
      </c>
      <c r="B249" s="221" t="s">
        <v>2335</v>
      </c>
      <c r="C249" s="222" t="s">
        <v>2334</v>
      </c>
      <c r="D249" s="221" t="s">
        <v>1979</v>
      </c>
      <c r="E249" s="223" t="s">
        <v>1958</v>
      </c>
      <c r="F249" s="223" t="s">
        <v>1958</v>
      </c>
      <c r="G249" s="224" t="s">
        <v>1958</v>
      </c>
      <c r="H249" s="223">
        <v>2824</v>
      </c>
      <c r="I249" s="223">
        <v>50</v>
      </c>
      <c r="J249" s="221" t="s">
        <v>1959</v>
      </c>
      <c r="K249" s="222">
        <v>0</v>
      </c>
    </row>
    <row r="250" spans="1:11">
      <c r="A250" s="221">
        <v>3.9110200000000002</v>
      </c>
      <c r="B250" s="221" t="s">
        <v>2336</v>
      </c>
      <c r="C250" s="222" t="s">
        <v>2334</v>
      </c>
      <c r="D250" s="221" t="s">
        <v>1979</v>
      </c>
      <c r="E250" s="223" t="s">
        <v>1958</v>
      </c>
      <c r="F250" s="223" t="s">
        <v>1958</v>
      </c>
      <c r="G250" s="224" t="s">
        <v>1958</v>
      </c>
      <c r="H250" s="223">
        <v>1268</v>
      </c>
      <c r="I250" s="223">
        <v>50</v>
      </c>
      <c r="J250" s="221" t="s">
        <v>1969</v>
      </c>
      <c r="K250" s="222">
        <v>0</v>
      </c>
    </row>
    <row r="251" spans="1:11">
      <c r="A251" s="221">
        <v>3.9110200000000002</v>
      </c>
      <c r="B251" s="221" t="s">
        <v>2337</v>
      </c>
      <c r="C251" s="222" t="s">
        <v>2334</v>
      </c>
      <c r="D251" s="221" t="s">
        <v>1979</v>
      </c>
      <c r="E251" s="223" t="s">
        <v>1958</v>
      </c>
      <c r="F251" s="223" t="s">
        <v>1958</v>
      </c>
      <c r="G251" s="224" t="s">
        <v>1958</v>
      </c>
      <c r="H251" s="223">
        <v>1268</v>
      </c>
      <c r="I251" s="223">
        <v>50</v>
      </c>
      <c r="J251" s="221" t="s">
        <v>1959</v>
      </c>
      <c r="K251" s="222">
        <v>0</v>
      </c>
    </row>
    <row r="252" spans="1:11">
      <c r="A252" s="221">
        <v>3.9110200000000002</v>
      </c>
      <c r="B252" s="221" t="s">
        <v>2338</v>
      </c>
      <c r="C252" s="222" t="s">
        <v>2334</v>
      </c>
      <c r="D252" s="221" t="s">
        <v>1979</v>
      </c>
      <c r="E252" s="223" t="s">
        <v>1958</v>
      </c>
      <c r="F252" s="223" t="s">
        <v>1958</v>
      </c>
      <c r="G252" s="224" t="s">
        <v>1958</v>
      </c>
      <c r="H252" s="223">
        <v>874</v>
      </c>
      <c r="I252" s="223">
        <v>59</v>
      </c>
      <c r="J252" s="221" t="s">
        <v>1959</v>
      </c>
      <c r="K252" s="222">
        <v>0</v>
      </c>
    </row>
    <row r="253" spans="1:11">
      <c r="A253" s="221">
        <v>3.9110200000000002</v>
      </c>
      <c r="B253" s="221" t="s">
        <v>2339</v>
      </c>
      <c r="C253" s="222" t="s">
        <v>2340</v>
      </c>
      <c r="D253" s="221" t="s">
        <v>1979</v>
      </c>
      <c r="E253" s="223" t="s">
        <v>1958</v>
      </c>
      <c r="F253" s="223" t="s">
        <v>1958</v>
      </c>
      <c r="G253" s="224" t="s">
        <v>1958</v>
      </c>
      <c r="H253" s="223">
        <v>874</v>
      </c>
      <c r="I253" s="223">
        <v>59</v>
      </c>
      <c r="J253" s="221" t="s">
        <v>1969</v>
      </c>
      <c r="K253" s="222">
        <v>0</v>
      </c>
    </row>
    <row r="254" spans="1:11">
      <c r="A254" s="221">
        <v>3.9110200000000002</v>
      </c>
      <c r="B254" s="221" t="s">
        <v>2341</v>
      </c>
      <c r="C254" s="222" t="s">
        <v>2342</v>
      </c>
      <c r="D254" s="221" t="s">
        <v>1979</v>
      </c>
      <c r="E254" s="223" t="s">
        <v>1958</v>
      </c>
      <c r="F254" s="223" t="s">
        <v>1958</v>
      </c>
      <c r="G254" s="224" t="s">
        <v>1958</v>
      </c>
      <c r="H254" s="223">
        <v>559</v>
      </c>
      <c r="I254" s="223">
        <v>65</v>
      </c>
      <c r="J254" s="221" t="s">
        <v>1969</v>
      </c>
      <c r="K254" s="222">
        <v>0</v>
      </c>
    </row>
    <row r="255" spans="1:11">
      <c r="A255" s="221">
        <v>3.9110200000000002</v>
      </c>
      <c r="B255" s="221" t="s">
        <v>2343</v>
      </c>
      <c r="C255" s="222" t="s">
        <v>2342</v>
      </c>
      <c r="D255" s="221" t="s">
        <v>1979</v>
      </c>
      <c r="E255" s="223" t="s">
        <v>1958</v>
      </c>
      <c r="F255" s="223" t="s">
        <v>1958</v>
      </c>
      <c r="G255" s="224" t="s">
        <v>1958</v>
      </c>
      <c r="H255" s="223">
        <v>559</v>
      </c>
      <c r="I255" s="223">
        <v>65</v>
      </c>
      <c r="J255" s="221" t="s">
        <v>1959</v>
      </c>
      <c r="K255" s="222">
        <v>0</v>
      </c>
    </row>
    <row r="256" spans="1:11">
      <c r="A256" s="221">
        <v>3.9110200000000002</v>
      </c>
      <c r="B256" s="221" t="s">
        <v>2344</v>
      </c>
      <c r="C256" s="222" t="s">
        <v>2334</v>
      </c>
      <c r="D256" s="221" t="s">
        <v>451</v>
      </c>
      <c r="E256" s="223" t="s">
        <v>1958</v>
      </c>
      <c r="F256" s="223" t="s">
        <v>1958</v>
      </c>
      <c r="G256" s="224" t="s">
        <v>1958</v>
      </c>
      <c r="H256" s="223">
        <v>565</v>
      </c>
      <c r="I256" s="223">
        <v>65</v>
      </c>
      <c r="J256" s="221" t="s">
        <v>1969</v>
      </c>
      <c r="K256" s="222">
        <v>0</v>
      </c>
    </row>
    <row r="257" spans="1:11">
      <c r="A257" s="221">
        <v>3.9110200000000002</v>
      </c>
      <c r="B257" s="221" t="s">
        <v>2345</v>
      </c>
      <c r="C257" s="222" t="s">
        <v>2334</v>
      </c>
      <c r="D257" s="221" t="s">
        <v>451</v>
      </c>
      <c r="E257" s="223" t="s">
        <v>1958</v>
      </c>
      <c r="F257" s="223" t="s">
        <v>1958</v>
      </c>
      <c r="G257" s="224" t="s">
        <v>1958</v>
      </c>
      <c r="H257" s="223">
        <v>565</v>
      </c>
      <c r="I257" s="223">
        <v>65</v>
      </c>
      <c r="J257" s="221" t="s">
        <v>1959</v>
      </c>
      <c r="K257" s="222">
        <v>0</v>
      </c>
    </row>
    <row r="258" spans="1:11">
      <c r="A258" s="221">
        <v>3.9110200000000002</v>
      </c>
      <c r="B258" s="221" t="s">
        <v>2346</v>
      </c>
      <c r="C258" s="222" t="s">
        <v>2334</v>
      </c>
      <c r="D258" s="221" t="s">
        <v>451</v>
      </c>
      <c r="E258" s="223" t="s">
        <v>1958</v>
      </c>
      <c r="F258" s="223" t="s">
        <v>1958</v>
      </c>
      <c r="G258" s="224" t="s">
        <v>1958</v>
      </c>
      <c r="H258" s="223">
        <v>579</v>
      </c>
      <c r="I258" s="223">
        <v>71</v>
      </c>
      <c r="J258" s="221" t="s">
        <v>1969</v>
      </c>
      <c r="K258" s="222">
        <v>0</v>
      </c>
    </row>
    <row r="259" spans="1:11">
      <c r="A259" s="221">
        <v>3.9110200000000002</v>
      </c>
      <c r="B259" s="221" t="s">
        <v>2347</v>
      </c>
      <c r="C259" s="222" t="s">
        <v>2340</v>
      </c>
      <c r="D259" s="221" t="s">
        <v>451</v>
      </c>
      <c r="E259" s="223" t="s">
        <v>1958</v>
      </c>
      <c r="F259" s="223" t="s">
        <v>1958</v>
      </c>
      <c r="G259" s="224" t="s">
        <v>1958</v>
      </c>
      <c r="H259" s="223">
        <v>472</v>
      </c>
      <c r="I259" s="223">
        <v>71</v>
      </c>
      <c r="J259" s="221" t="s">
        <v>1959</v>
      </c>
      <c r="K259" s="222">
        <v>0</v>
      </c>
    </row>
    <row r="260" spans="1:11">
      <c r="A260" s="221">
        <v>3.9110200000000002</v>
      </c>
      <c r="B260" s="221" t="s">
        <v>2348</v>
      </c>
      <c r="C260" s="222" t="s">
        <v>2334</v>
      </c>
      <c r="D260" s="221" t="s">
        <v>451</v>
      </c>
      <c r="E260" s="223" t="s">
        <v>1958</v>
      </c>
      <c r="F260" s="223" t="s">
        <v>1958</v>
      </c>
      <c r="G260" s="224" t="s">
        <v>1958</v>
      </c>
      <c r="H260" s="223">
        <v>772</v>
      </c>
      <c r="I260" s="223">
        <v>83</v>
      </c>
      <c r="J260" s="221" t="s">
        <v>1969</v>
      </c>
      <c r="K260" s="222">
        <v>0</v>
      </c>
    </row>
    <row r="261" spans="1:11">
      <c r="A261" s="221">
        <v>3.9110200000000002</v>
      </c>
      <c r="B261" s="221" t="s">
        <v>2349</v>
      </c>
      <c r="C261" s="222" t="s">
        <v>2334</v>
      </c>
      <c r="D261" s="221" t="s">
        <v>451</v>
      </c>
      <c r="E261" s="223" t="s">
        <v>1958</v>
      </c>
      <c r="F261" s="223" t="s">
        <v>1958</v>
      </c>
      <c r="G261" s="224" t="s">
        <v>1958</v>
      </c>
      <c r="H261" s="223">
        <v>772</v>
      </c>
      <c r="I261" s="223">
        <v>83</v>
      </c>
      <c r="J261" s="221" t="s">
        <v>1959</v>
      </c>
      <c r="K261" s="222">
        <v>0</v>
      </c>
    </row>
    <row r="262" spans="1:11">
      <c r="A262" s="221">
        <v>3.9110200000000002</v>
      </c>
      <c r="B262" s="221" t="s">
        <v>2350</v>
      </c>
      <c r="C262" s="222" t="s">
        <v>2334</v>
      </c>
      <c r="D262" s="221" t="s">
        <v>451</v>
      </c>
      <c r="E262" s="223" t="s">
        <v>1958</v>
      </c>
      <c r="F262" s="223" t="s">
        <v>1958</v>
      </c>
      <c r="G262" s="224" t="s">
        <v>1958</v>
      </c>
      <c r="H262" s="223">
        <v>783</v>
      </c>
      <c r="I262" s="223">
        <v>89</v>
      </c>
      <c r="J262" s="221" t="s">
        <v>1969</v>
      </c>
      <c r="K262" s="222">
        <v>0</v>
      </c>
    </row>
    <row r="263" spans="1:11">
      <c r="A263" s="221">
        <v>3.9110200000000002</v>
      </c>
      <c r="B263" s="221" t="s">
        <v>2351</v>
      </c>
      <c r="C263" s="222" t="s">
        <v>2334</v>
      </c>
      <c r="D263" s="221" t="s">
        <v>451</v>
      </c>
      <c r="E263" s="223" t="s">
        <v>1958</v>
      </c>
      <c r="F263" s="223" t="s">
        <v>1958</v>
      </c>
      <c r="G263" s="224" t="s">
        <v>1958</v>
      </c>
      <c r="H263" s="223">
        <v>783</v>
      </c>
      <c r="I263" s="223">
        <v>89</v>
      </c>
      <c r="J263" s="221" t="s">
        <v>1959</v>
      </c>
      <c r="K263" s="222">
        <v>0</v>
      </c>
    </row>
    <row r="264" spans="1:11">
      <c r="A264" s="221">
        <v>3.9110200000000002</v>
      </c>
      <c r="B264" s="221" t="s">
        <v>2352</v>
      </c>
      <c r="C264" s="222" t="s">
        <v>2353</v>
      </c>
      <c r="D264" s="221" t="s">
        <v>451</v>
      </c>
      <c r="E264" s="223" t="s">
        <v>1958</v>
      </c>
      <c r="F264" s="223" t="s">
        <v>1958</v>
      </c>
      <c r="G264" s="224" t="s">
        <v>1958</v>
      </c>
      <c r="H264" s="223">
        <v>72</v>
      </c>
      <c r="I264" s="223">
        <v>92</v>
      </c>
      <c r="J264" s="221" t="s">
        <v>1959</v>
      </c>
      <c r="K264" s="222">
        <v>0</v>
      </c>
    </row>
    <row r="265" spans="1:11">
      <c r="A265" s="221">
        <v>3.9110200000000002</v>
      </c>
      <c r="B265" s="221" t="s">
        <v>2354</v>
      </c>
      <c r="C265" s="222" t="s">
        <v>2353</v>
      </c>
      <c r="D265" s="221" t="s">
        <v>451</v>
      </c>
      <c r="E265" s="223" t="s">
        <v>1958</v>
      </c>
      <c r="F265" s="223" t="s">
        <v>1958</v>
      </c>
      <c r="G265" s="224" t="s">
        <v>1958</v>
      </c>
      <c r="H265" s="223">
        <v>48</v>
      </c>
      <c r="I265" s="223">
        <v>95</v>
      </c>
      <c r="J265" s="221" t="s">
        <v>1959</v>
      </c>
      <c r="K265" s="222">
        <v>0</v>
      </c>
    </row>
    <row r="266" spans="1:11">
      <c r="A266" s="221">
        <v>3.9110200000000002</v>
      </c>
      <c r="B266" s="221" t="s">
        <v>2355</v>
      </c>
      <c r="C266" s="222" t="s">
        <v>2334</v>
      </c>
      <c r="D266" s="221" t="s">
        <v>451</v>
      </c>
      <c r="E266" s="223" t="s">
        <v>1958</v>
      </c>
      <c r="F266" s="223" t="s">
        <v>1958</v>
      </c>
      <c r="G266" s="224" t="s">
        <v>1958</v>
      </c>
      <c r="H266" s="223">
        <v>776</v>
      </c>
      <c r="I266" s="223">
        <v>97</v>
      </c>
      <c r="J266" s="221" t="s">
        <v>1959</v>
      </c>
      <c r="K266" s="222">
        <v>0</v>
      </c>
    </row>
    <row r="267" spans="1:11">
      <c r="A267" s="221">
        <v>3.9110200000000002</v>
      </c>
      <c r="B267" s="221" t="s">
        <v>2356</v>
      </c>
      <c r="C267" s="222" t="s">
        <v>2334</v>
      </c>
      <c r="D267" s="221" t="s">
        <v>451</v>
      </c>
      <c r="E267" s="223" t="s">
        <v>1958</v>
      </c>
      <c r="F267" s="223" t="s">
        <v>1958</v>
      </c>
      <c r="G267" s="224" t="s">
        <v>1958</v>
      </c>
      <c r="H267" s="223">
        <v>746</v>
      </c>
      <c r="I267" s="223">
        <v>103</v>
      </c>
      <c r="J267" s="221" t="s">
        <v>1969</v>
      </c>
      <c r="K267" s="222">
        <v>0</v>
      </c>
    </row>
    <row r="268" spans="1:11">
      <c r="A268" s="221">
        <v>3.9110200000000002</v>
      </c>
      <c r="B268" s="221" t="s">
        <v>2357</v>
      </c>
      <c r="C268" s="222" t="s">
        <v>2334</v>
      </c>
      <c r="D268" s="221" t="s">
        <v>451</v>
      </c>
      <c r="E268" s="223" t="s">
        <v>1958</v>
      </c>
      <c r="F268" s="223" t="s">
        <v>1958</v>
      </c>
      <c r="G268" s="224" t="s">
        <v>1958</v>
      </c>
      <c r="H268" s="223">
        <v>746</v>
      </c>
      <c r="I268" s="223">
        <v>103</v>
      </c>
      <c r="J268" s="221" t="s">
        <v>1959</v>
      </c>
      <c r="K268" s="222">
        <v>0</v>
      </c>
    </row>
    <row r="269" spans="1:11">
      <c r="A269" s="221">
        <v>3.9110200000000002</v>
      </c>
      <c r="B269" s="221" t="s">
        <v>2358</v>
      </c>
      <c r="C269" s="222" t="s">
        <v>2334</v>
      </c>
      <c r="D269" s="221" t="s">
        <v>451</v>
      </c>
      <c r="E269" s="223" t="s">
        <v>1958</v>
      </c>
      <c r="F269" s="223" t="s">
        <v>1958</v>
      </c>
      <c r="G269" s="224" t="s">
        <v>1958</v>
      </c>
      <c r="H269" s="223">
        <v>688</v>
      </c>
      <c r="I269" s="223">
        <v>109</v>
      </c>
      <c r="J269" s="221" t="s">
        <v>1969</v>
      </c>
      <c r="K269" s="222">
        <v>0</v>
      </c>
    </row>
    <row r="270" spans="1:11">
      <c r="A270" s="221">
        <v>3.9110200000000002</v>
      </c>
      <c r="B270" s="221" t="s">
        <v>2359</v>
      </c>
      <c r="C270" s="222" t="s">
        <v>2334</v>
      </c>
      <c r="D270" s="221" t="s">
        <v>451</v>
      </c>
      <c r="E270" s="223" t="s">
        <v>1958</v>
      </c>
      <c r="F270" s="223" t="s">
        <v>1958</v>
      </c>
      <c r="G270" s="224" t="s">
        <v>1958</v>
      </c>
      <c r="H270" s="223">
        <v>688</v>
      </c>
      <c r="I270" s="223">
        <v>109</v>
      </c>
      <c r="J270" s="221" t="s">
        <v>1959</v>
      </c>
      <c r="K270" s="222">
        <v>0</v>
      </c>
    </row>
    <row r="271" spans="1:11">
      <c r="A271" s="221">
        <v>3.9110200000000002</v>
      </c>
      <c r="B271" s="221" t="s">
        <v>2360</v>
      </c>
      <c r="C271" s="222" t="s">
        <v>2334</v>
      </c>
      <c r="D271" s="221" t="s">
        <v>451</v>
      </c>
      <c r="E271" s="223" t="s">
        <v>1958</v>
      </c>
      <c r="F271" s="223" t="s">
        <v>1958</v>
      </c>
      <c r="G271" s="224" t="s">
        <v>1958</v>
      </c>
      <c r="H271" s="223">
        <v>479</v>
      </c>
      <c r="I271" s="223">
        <v>115</v>
      </c>
      <c r="J271" s="221" t="s">
        <v>1969</v>
      </c>
      <c r="K271" s="222">
        <v>0</v>
      </c>
    </row>
    <row r="272" spans="1:11">
      <c r="A272" s="221">
        <v>3.9110200000000002</v>
      </c>
      <c r="B272" s="221" t="s">
        <v>2361</v>
      </c>
      <c r="C272" s="222" t="s">
        <v>2334</v>
      </c>
      <c r="D272" s="221" t="s">
        <v>451</v>
      </c>
      <c r="E272" s="223" t="s">
        <v>1958</v>
      </c>
      <c r="F272" s="223" t="s">
        <v>1958</v>
      </c>
      <c r="G272" s="224" t="s">
        <v>1958</v>
      </c>
      <c r="H272" s="223">
        <v>479</v>
      </c>
      <c r="I272" s="223">
        <v>115</v>
      </c>
      <c r="J272" s="221" t="s">
        <v>1959</v>
      </c>
      <c r="K272" s="222">
        <v>0</v>
      </c>
    </row>
    <row r="273" spans="1:11">
      <c r="A273" s="221">
        <v>3.9110200000000002</v>
      </c>
      <c r="B273" s="221" t="s">
        <v>2362</v>
      </c>
      <c r="C273" s="222" t="s">
        <v>2334</v>
      </c>
      <c r="D273" s="221" t="s">
        <v>451</v>
      </c>
      <c r="E273" s="223" t="s">
        <v>1958</v>
      </c>
      <c r="F273" s="223" t="s">
        <v>1958</v>
      </c>
      <c r="G273" s="224" t="s">
        <v>1958</v>
      </c>
      <c r="H273" s="223">
        <v>771</v>
      </c>
      <c r="I273" s="223">
        <v>121</v>
      </c>
      <c r="J273" s="221" t="s">
        <v>1969</v>
      </c>
      <c r="K273" s="222">
        <v>0</v>
      </c>
    </row>
    <row r="274" spans="1:11">
      <c r="A274" s="221">
        <v>3.9110200000000002</v>
      </c>
      <c r="B274" s="221" t="s">
        <v>2363</v>
      </c>
      <c r="C274" s="222" t="s">
        <v>2334</v>
      </c>
      <c r="D274" s="221" t="s">
        <v>451</v>
      </c>
      <c r="E274" s="223" t="s">
        <v>1958</v>
      </c>
      <c r="F274" s="223" t="s">
        <v>1958</v>
      </c>
      <c r="G274" s="224" t="s">
        <v>1958</v>
      </c>
      <c r="H274" s="223">
        <v>771</v>
      </c>
      <c r="I274" s="223">
        <v>121</v>
      </c>
      <c r="J274" s="221" t="s">
        <v>1959</v>
      </c>
      <c r="K274" s="222">
        <v>0</v>
      </c>
    </row>
    <row r="275" spans="1:11">
      <c r="A275" s="221">
        <v>3.9110200000000002</v>
      </c>
      <c r="B275" s="221" t="s">
        <v>2364</v>
      </c>
      <c r="C275" s="222" t="s">
        <v>2334</v>
      </c>
      <c r="D275" s="221" t="s">
        <v>451</v>
      </c>
      <c r="E275" s="223" t="s">
        <v>1958</v>
      </c>
      <c r="F275" s="223" t="s">
        <v>1958</v>
      </c>
      <c r="G275" s="224" t="s">
        <v>1958</v>
      </c>
      <c r="H275" s="223">
        <v>1013</v>
      </c>
      <c r="I275" s="223">
        <v>135</v>
      </c>
      <c r="J275" s="221" t="s">
        <v>1959</v>
      </c>
      <c r="K275" s="222">
        <v>0</v>
      </c>
    </row>
    <row r="276" spans="1:11">
      <c r="A276" s="221">
        <v>3.9110200000000002</v>
      </c>
      <c r="B276" s="221" t="s">
        <v>2365</v>
      </c>
      <c r="C276" s="222" t="s">
        <v>2334</v>
      </c>
      <c r="D276" s="221" t="s">
        <v>451</v>
      </c>
      <c r="E276" s="223" t="s">
        <v>1958</v>
      </c>
      <c r="F276" s="223" t="s">
        <v>1958</v>
      </c>
      <c r="G276" s="224" t="s">
        <v>1958</v>
      </c>
      <c r="H276" s="223">
        <v>1253</v>
      </c>
      <c r="I276" s="223">
        <v>138</v>
      </c>
      <c r="J276" s="221" t="s">
        <v>1962</v>
      </c>
      <c r="K276" s="222">
        <v>0</v>
      </c>
    </row>
    <row r="277" spans="1:11">
      <c r="A277" s="221">
        <v>3.9110200000000002</v>
      </c>
      <c r="B277" s="221" t="s">
        <v>2366</v>
      </c>
      <c r="C277" s="222" t="s">
        <v>2367</v>
      </c>
      <c r="D277" s="221" t="s">
        <v>451</v>
      </c>
      <c r="E277" s="223" t="s">
        <v>1958</v>
      </c>
      <c r="F277" s="223" t="s">
        <v>1958</v>
      </c>
      <c r="G277" s="224" t="s">
        <v>1958</v>
      </c>
      <c r="H277" s="223">
        <v>861</v>
      </c>
      <c r="I277" s="223">
        <v>153</v>
      </c>
      <c r="J277" s="221" t="s">
        <v>1962</v>
      </c>
      <c r="K277" s="222">
        <v>0</v>
      </c>
    </row>
    <row r="278" spans="1:11">
      <c r="A278" s="221">
        <v>3.9111099999999999</v>
      </c>
      <c r="B278" s="221" t="s">
        <v>2368</v>
      </c>
      <c r="C278" s="222" t="s">
        <v>2369</v>
      </c>
      <c r="D278" s="221" t="s">
        <v>451</v>
      </c>
      <c r="E278" s="223" t="s">
        <v>1958</v>
      </c>
      <c r="F278" s="223" t="s">
        <v>1958</v>
      </c>
      <c r="G278" s="224" t="s">
        <v>1958</v>
      </c>
      <c r="H278" s="223">
        <v>1494</v>
      </c>
      <c r="I278" s="223">
        <v>77</v>
      </c>
      <c r="J278" s="221" t="s">
        <v>1962</v>
      </c>
      <c r="K278" s="222">
        <v>0</v>
      </c>
    </row>
    <row r="279" spans="1:11">
      <c r="A279" s="221">
        <v>3.91201</v>
      </c>
      <c r="B279" s="221" t="s">
        <v>2370</v>
      </c>
      <c r="C279" s="222" t="s">
        <v>2371</v>
      </c>
      <c r="D279" s="221" t="s">
        <v>1974</v>
      </c>
      <c r="E279" s="223" t="s">
        <v>1958</v>
      </c>
      <c r="F279" s="223" t="s">
        <v>1958</v>
      </c>
      <c r="G279" s="224" t="s">
        <v>1958</v>
      </c>
      <c r="H279" s="223">
        <v>753</v>
      </c>
      <c r="I279" s="223">
        <v>83</v>
      </c>
      <c r="J279" s="221" t="s">
        <v>1959</v>
      </c>
      <c r="K279" s="222">
        <v>0</v>
      </c>
    </row>
    <row r="280" spans="1:11">
      <c r="A280" s="221">
        <v>3.91201</v>
      </c>
      <c r="B280" s="221" t="s">
        <v>2372</v>
      </c>
      <c r="C280" s="222" t="s">
        <v>2371</v>
      </c>
      <c r="D280" s="221" t="s">
        <v>1974</v>
      </c>
      <c r="E280" s="223" t="s">
        <v>1958</v>
      </c>
      <c r="F280" s="223" t="s">
        <v>1958</v>
      </c>
      <c r="G280" s="224" t="s">
        <v>1958</v>
      </c>
      <c r="H280" s="223">
        <v>764</v>
      </c>
      <c r="I280" s="223">
        <v>89</v>
      </c>
      <c r="J280" s="221" t="s">
        <v>1959</v>
      </c>
      <c r="K280" s="222">
        <v>0</v>
      </c>
    </row>
    <row r="281" spans="1:11">
      <c r="A281" s="221">
        <v>3.91201</v>
      </c>
      <c r="B281" s="221" t="s">
        <v>2373</v>
      </c>
      <c r="C281" s="222" t="s">
        <v>2371</v>
      </c>
      <c r="D281" s="221" t="s">
        <v>1974</v>
      </c>
      <c r="E281" s="223" t="s">
        <v>1958</v>
      </c>
      <c r="F281" s="223" t="s">
        <v>1958</v>
      </c>
      <c r="G281" s="224" t="s">
        <v>1958</v>
      </c>
      <c r="H281" s="223">
        <v>616</v>
      </c>
      <c r="I281" s="223">
        <v>109</v>
      </c>
      <c r="J281" s="221" t="s">
        <v>1969</v>
      </c>
      <c r="K281" s="222">
        <v>0</v>
      </c>
    </row>
    <row r="282" spans="1:11">
      <c r="A282" s="221">
        <v>3.91201</v>
      </c>
      <c r="B282" s="221" t="s">
        <v>2374</v>
      </c>
      <c r="C282" s="222" t="s">
        <v>2371</v>
      </c>
      <c r="D282" s="221" t="s">
        <v>1974</v>
      </c>
      <c r="E282" s="223" t="s">
        <v>1958</v>
      </c>
      <c r="F282" s="223" t="s">
        <v>1958</v>
      </c>
      <c r="G282" s="224" t="s">
        <v>1958</v>
      </c>
      <c r="H282" s="223">
        <v>616</v>
      </c>
      <c r="I282" s="223">
        <v>115</v>
      </c>
      <c r="J282" s="221" t="s">
        <v>1969</v>
      </c>
      <c r="K282" s="222">
        <v>0</v>
      </c>
    </row>
    <row r="283" spans="1:11">
      <c r="A283" s="221">
        <v>3.91201</v>
      </c>
      <c r="B283" s="221" t="s">
        <v>2375</v>
      </c>
      <c r="C283" s="222" t="s">
        <v>2371</v>
      </c>
      <c r="D283" s="221" t="s">
        <v>1974</v>
      </c>
      <c r="E283" s="223" t="s">
        <v>1958</v>
      </c>
      <c r="F283" s="223" t="s">
        <v>1958</v>
      </c>
      <c r="G283" s="224" t="s">
        <v>1958</v>
      </c>
      <c r="H283" s="223">
        <v>231</v>
      </c>
      <c r="I283" s="223">
        <v>129</v>
      </c>
      <c r="J283" s="221" t="s">
        <v>1959</v>
      </c>
      <c r="K283" s="222">
        <v>0</v>
      </c>
    </row>
    <row r="284" spans="1:11">
      <c r="A284" s="221">
        <v>3.91201</v>
      </c>
      <c r="B284" s="221" t="s">
        <v>2376</v>
      </c>
      <c r="C284" s="222" t="s">
        <v>2371</v>
      </c>
      <c r="D284" s="221" t="s">
        <v>1974</v>
      </c>
      <c r="E284" s="223" t="s">
        <v>1958</v>
      </c>
      <c r="F284" s="223" t="s">
        <v>1958</v>
      </c>
      <c r="G284" s="224" t="s">
        <v>1958</v>
      </c>
      <c r="H284" s="223">
        <v>384</v>
      </c>
      <c r="I284" s="223">
        <v>132</v>
      </c>
      <c r="J284" s="221" t="s">
        <v>1959</v>
      </c>
      <c r="K284" s="222">
        <v>0</v>
      </c>
    </row>
    <row r="285" spans="1:11">
      <c r="A285" s="221">
        <v>3.9130099999999999</v>
      </c>
      <c r="B285" s="221" t="s">
        <v>2377</v>
      </c>
      <c r="C285" s="222" t="s">
        <v>2378</v>
      </c>
      <c r="D285" s="221" t="s">
        <v>1979</v>
      </c>
      <c r="E285" s="223" t="s">
        <v>1958</v>
      </c>
      <c r="F285" s="223">
        <v>77</v>
      </c>
      <c r="G285" s="224" t="s">
        <v>1958</v>
      </c>
      <c r="H285" s="223">
        <v>687</v>
      </c>
      <c r="I285" s="223">
        <v>68</v>
      </c>
      <c r="J285" s="221" t="s">
        <v>1969</v>
      </c>
      <c r="K285" s="222">
        <v>0</v>
      </c>
    </row>
    <row r="286" spans="1:11">
      <c r="A286" s="221">
        <v>3.9200200000000001</v>
      </c>
      <c r="B286" s="221" t="s">
        <v>2379</v>
      </c>
      <c r="C286" s="222" t="s">
        <v>2367</v>
      </c>
      <c r="D286" s="221" t="s">
        <v>1979</v>
      </c>
      <c r="E286" s="223" t="s">
        <v>1958</v>
      </c>
      <c r="F286" s="223" t="s">
        <v>1958</v>
      </c>
      <c r="G286" s="224" t="s">
        <v>1958</v>
      </c>
      <c r="H286" s="223">
        <v>1091</v>
      </c>
      <c r="I286" s="223">
        <v>42</v>
      </c>
      <c r="J286" s="221" t="s">
        <v>1969</v>
      </c>
      <c r="K286" s="222">
        <v>0</v>
      </c>
    </row>
    <row r="287" spans="1:11">
      <c r="A287" s="221">
        <v>3.9200200000000001</v>
      </c>
      <c r="B287" s="221" t="s">
        <v>2380</v>
      </c>
      <c r="C287" s="222" t="s">
        <v>2367</v>
      </c>
      <c r="D287" s="221" t="s">
        <v>1979</v>
      </c>
      <c r="E287" s="223" t="s">
        <v>1958</v>
      </c>
      <c r="F287" s="223" t="s">
        <v>1958</v>
      </c>
      <c r="G287" s="224" t="s">
        <v>1958</v>
      </c>
      <c r="H287" s="223">
        <v>1091</v>
      </c>
      <c r="I287" s="223">
        <v>42</v>
      </c>
      <c r="J287" s="221" t="s">
        <v>1959</v>
      </c>
      <c r="K287" s="222">
        <v>0</v>
      </c>
    </row>
    <row r="288" spans="1:11">
      <c r="A288" s="221">
        <v>3.9200200000000001</v>
      </c>
      <c r="B288" s="221" t="s">
        <v>2381</v>
      </c>
      <c r="C288" s="222" t="s">
        <v>2367</v>
      </c>
      <c r="D288" s="221" t="s">
        <v>451</v>
      </c>
      <c r="E288" s="223" t="s">
        <v>1958</v>
      </c>
      <c r="F288" s="223" t="s">
        <v>1958</v>
      </c>
      <c r="G288" s="224" t="s">
        <v>1958</v>
      </c>
      <c r="H288" s="223">
        <v>2062</v>
      </c>
      <c r="I288" s="223">
        <v>15</v>
      </c>
      <c r="J288" s="221" t="s">
        <v>1962</v>
      </c>
      <c r="K288" s="222">
        <v>0</v>
      </c>
    </row>
    <row r="289" spans="1:11">
      <c r="A289" s="221">
        <v>3.9200200000000001</v>
      </c>
      <c r="B289" s="221" t="s">
        <v>2382</v>
      </c>
      <c r="C289" s="222" t="s">
        <v>2367</v>
      </c>
      <c r="D289" s="221" t="s">
        <v>451</v>
      </c>
      <c r="E289" s="223" t="s">
        <v>1958</v>
      </c>
      <c r="F289" s="223" t="s">
        <v>1958</v>
      </c>
      <c r="G289" s="224" t="s">
        <v>1958</v>
      </c>
      <c r="H289" s="223">
        <v>2694</v>
      </c>
      <c r="I289" s="223">
        <v>42</v>
      </c>
      <c r="J289" s="221" t="s">
        <v>1962</v>
      </c>
      <c r="K289" s="222">
        <v>0</v>
      </c>
    </row>
    <row r="290" spans="1:11">
      <c r="A290" s="221">
        <v>3.9200200000000001</v>
      </c>
      <c r="B290" s="221" t="s">
        <v>2383</v>
      </c>
      <c r="C290" s="222" t="s">
        <v>2367</v>
      </c>
      <c r="D290" s="221" t="s">
        <v>451</v>
      </c>
      <c r="E290" s="223" t="s">
        <v>1958</v>
      </c>
      <c r="F290" s="223" t="s">
        <v>1958</v>
      </c>
      <c r="G290" s="224" t="s">
        <v>1958</v>
      </c>
      <c r="H290" s="223">
        <v>1424</v>
      </c>
      <c r="I290" s="223">
        <v>167</v>
      </c>
      <c r="J290" s="221" t="s">
        <v>1962</v>
      </c>
      <c r="K290" s="222">
        <v>0</v>
      </c>
    </row>
    <row r="291" spans="1:11">
      <c r="A291" s="221">
        <v>3.9300099999999998</v>
      </c>
      <c r="B291" s="221" t="s">
        <v>2384</v>
      </c>
      <c r="C291" s="222" t="s">
        <v>567</v>
      </c>
      <c r="D291" s="221" t="s">
        <v>1974</v>
      </c>
      <c r="E291" s="223" t="s">
        <v>1958</v>
      </c>
      <c r="F291" s="223" t="s">
        <v>1958</v>
      </c>
      <c r="G291" s="224">
        <v>9.17</v>
      </c>
      <c r="H291" s="223">
        <v>2249</v>
      </c>
      <c r="I291" s="223">
        <v>135</v>
      </c>
      <c r="J291" s="221" t="s">
        <v>1969</v>
      </c>
      <c r="K291" s="222">
        <v>0</v>
      </c>
    </row>
    <row r="292" spans="1:11">
      <c r="A292" s="221">
        <v>3.9300099999999998</v>
      </c>
      <c r="B292" s="221" t="s">
        <v>2385</v>
      </c>
      <c r="C292" s="222" t="s">
        <v>567</v>
      </c>
      <c r="D292" s="221" t="s">
        <v>1974</v>
      </c>
      <c r="E292" s="223" t="s">
        <v>1958</v>
      </c>
      <c r="F292" s="223" t="s">
        <v>1958</v>
      </c>
      <c r="G292" s="224">
        <v>9.17</v>
      </c>
      <c r="H292" s="223">
        <v>2249</v>
      </c>
      <c r="I292" s="223">
        <v>135</v>
      </c>
      <c r="J292" s="221" t="s">
        <v>1959</v>
      </c>
      <c r="K292" s="222">
        <v>0</v>
      </c>
    </row>
    <row r="293" spans="1:11">
      <c r="A293" s="221">
        <v>3.9409999999999998</v>
      </c>
      <c r="B293" s="221" t="s">
        <v>2386</v>
      </c>
      <c r="C293" s="222" t="s">
        <v>2387</v>
      </c>
      <c r="D293" s="221" t="s">
        <v>1974</v>
      </c>
      <c r="E293" s="223" t="s">
        <v>1958</v>
      </c>
      <c r="F293" s="223">
        <v>157</v>
      </c>
      <c r="G293" s="224">
        <v>6.67</v>
      </c>
      <c r="H293" s="223">
        <v>1216</v>
      </c>
      <c r="I293" s="223">
        <v>169</v>
      </c>
      <c r="J293" s="221" t="s">
        <v>1962</v>
      </c>
      <c r="K293" s="222">
        <v>0</v>
      </c>
    </row>
    <row r="294" spans="1:11">
      <c r="A294" s="221">
        <v>3.9410099999999999</v>
      </c>
      <c r="B294" s="221" t="s">
        <v>2388</v>
      </c>
      <c r="C294" s="222" t="s">
        <v>2389</v>
      </c>
      <c r="D294" s="221" t="s">
        <v>451</v>
      </c>
      <c r="E294" s="223" t="s">
        <v>1958</v>
      </c>
      <c r="F294" s="223" t="s">
        <v>1958</v>
      </c>
      <c r="G294" s="224" t="s">
        <v>1958</v>
      </c>
      <c r="H294" s="223">
        <v>103</v>
      </c>
      <c r="I294" s="223">
        <v>74</v>
      </c>
      <c r="J294" s="221" t="s">
        <v>1959</v>
      </c>
      <c r="K294" s="222">
        <v>0</v>
      </c>
    </row>
    <row r="295" spans="1:11">
      <c r="A295" s="221">
        <v>3.9410099999999999</v>
      </c>
      <c r="B295" s="221" t="s">
        <v>2390</v>
      </c>
      <c r="C295" s="222" t="s">
        <v>2389</v>
      </c>
      <c r="D295" s="221" t="s">
        <v>451</v>
      </c>
      <c r="E295" s="223" t="s">
        <v>1958</v>
      </c>
      <c r="F295" s="223" t="s">
        <v>1958</v>
      </c>
      <c r="G295" s="224" t="s">
        <v>1958</v>
      </c>
      <c r="H295" s="223">
        <v>69</v>
      </c>
      <c r="I295" s="223">
        <v>95</v>
      </c>
      <c r="J295" s="221" t="s">
        <v>1969</v>
      </c>
      <c r="K295" s="222">
        <v>0</v>
      </c>
    </row>
    <row r="296" spans="1:11">
      <c r="A296" s="221">
        <v>3.9410099999999999</v>
      </c>
      <c r="B296" s="221" t="s">
        <v>2391</v>
      </c>
      <c r="C296" s="222" t="s">
        <v>2392</v>
      </c>
      <c r="D296" s="221" t="s">
        <v>451</v>
      </c>
      <c r="E296" s="223" t="s">
        <v>1958</v>
      </c>
      <c r="F296" s="223" t="s">
        <v>1958</v>
      </c>
      <c r="G296" s="224" t="s">
        <v>1958</v>
      </c>
      <c r="H296" s="223">
        <v>42</v>
      </c>
      <c r="I296" s="223">
        <v>121</v>
      </c>
      <c r="J296" s="221" t="s">
        <v>1959</v>
      </c>
      <c r="K296" s="222">
        <v>0</v>
      </c>
    </row>
    <row r="297" spans="1:11">
      <c r="A297" s="221">
        <v>3.9410099999999999</v>
      </c>
      <c r="B297" s="221" t="s">
        <v>2393</v>
      </c>
      <c r="C297" s="222" t="s">
        <v>2389</v>
      </c>
      <c r="D297" s="221" t="s">
        <v>451</v>
      </c>
      <c r="E297" s="223" t="s">
        <v>1958</v>
      </c>
      <c r="F297" s="223" t="s">
        <v>1958</v>
      </c>
      <c r="G297" s="224" t="s">
        <v>1958</v>
      </c>
      <c r="H297" s="223">
        <v>120</v>
      </c>
      <c r="I297" s="223">
        <v>153</v>
      </c>
      <c r="J297" s="221" t="s">
        <v>1959</v>
      </c>
      <c r="K297" s="222">
        <v>0</v>
      </c>
    </row>
    <row r="298" spans="1:11">
      <c r="A298" s="221">
        <v>3.94102</v>
      </c>
      <c r="B298" s="221" t="s">
        <v>2394</v>
      </c>
      <c r="C298" s="222" t="s">
        <v>2342</v>
      </c>
      <c r="D298" s="221" t="s">
        <v>1979</v>
      </c>
      <c r="E298" s="223" t="s">
        <v>1958</v>
      </c>
      <c r="F298" s="223" t="s">
        <v>1958</v>
      </c>
      <c r="G298" s="224" t="s">
        <v>1958</v>
      </c>
      <c r="H298" s="223">
        <v>612</v>
      </c>
      <c r="I298" s="223">
        <v>65</v>
      </c>
      <c r="J298" s="221" t="s">
        <v>1969</v>
      </c>
      <c r="K298" s="222">
        <v>0</v>
      </c>
    </row>
    <row r="299" spans="1:11">
      <c r="A299" s="221">
        <v>3.94102</v>
      </c>
      <c r="B299" s="221" t="s">
        <v>2395</v>
      </c>
      <c r="C299" s="222" t="s">
        <v>2342</v>
      </c>
      <c r="D299" s="221" t="s">
        <v>1979</v>
      </c>
      <c r="E299" s="223" t="s">
        <v>1958</v>
      </c>
      <c r="F299" s="223" t="s">
        <v>1958</v>
      </c>
      <c r="G299" s="224" t="s">
        <v>1958</v>
      </c>
      <c r="H299" s="223">
        <v>612</v>
      </c>
      <c r="I299" s="223">
        <v>65</v>
      </c>
      <c r="J299" s="221" t="s">
        <v>1959</v>
      </c>
      <c r="K299" s="222">
        <v>0</v>
      </c>
    </row>
    <row r="300" spans="1:11">
      <c r="A300" s="221">
        <v>3.9420099999999998</v>
      </c>
      <c r="B300" s="221" t="s">
        <v>2396</v>
      </c>
      <c r="C300" s="222" t="s">
        <v>559</v>
      </c>
      <c r="D300" s="221" t="s">
        <v>1979</v>
      </c>
      <c r="E300" s="223" t="s">
        <v>1958</v>
      </c>
      <c r="F300" s="223" t="s">
        <v>1958</v>
      </c>
      <c r="G300" s="224" t="s">
        <v>1958</v>
      </c>
      <c r="H300" s="223">
        <v>535</v>
      </c>
      <c r="I300" s="223">
        <v>95</v>
      </c>
      <c r="J300" s="221" t="s">
        <v>1969</v>
      </c>
      <c r="K300" s="222">
        <v>0</v>
      </c>
    </row>
    <row r="301" spans="1:11">
      <c r="A301" s="221">
        <v>3.9420199999999999</v>
      </c>
      <c r="B301" s="221" t="s">
        <v>2397</v>
      </c>
      <c r="C301" s="222" t="s">
        <v>556</v>
      </c>
      <c r="D301" s="221" t="s">
        <v>1979</v>
      </c>
      <c r="E301" s="223" t="s">
        <v>1958</v>
      </c>
      <c r="F301" s="223" t="s">
        <v>1958</v>
      </c>
      <c r="G301" s="224" t="s">
        <v>1958</v>
      </c>
      <c r="H301" s="223">
        <v>388</v>
      </c>
      <c r="I301" s="223">
        <v>100</v>
      </c>
      <c r="J301" s="221" t="s">
        <v>1969</v>
      </c>
      <c r="K301" s="222">
        <v>0</v>
      </c>
    </row>
    <row r="302" spans="1:11">
      <c r="A302" s="221">
        <v>3.9420199999999999</v>
      </c>
      <c r="B302" s="221" t="s">
        <v>2398</v>
      </c>
      <c r="C302" s="222" t="s">
        <v>2399</v>
      </c>
      <c r="D302" s="221" t="s">
        <v>451</v>
      </c>
      <c r="E302" s="223" t="s">
        <v>1958</v>
      </c>
      <c r="F302" s="223" t="s">
        <v>1958</v>
      </c>
      <c r="G302" s="224" t="s">
        <v>1958</v>
      </c>
      <c r="H302" s="223">
        <v>125</v>
      </c>
      <c r="I302" s="223">
        <v>95</v>
      </c>
      <c r="J302" s="221" t="s">
        <v>1959</v>
      </c>
      <c r="K302" s="222">
        <v>0</v>
      </c>
    </row>
    <row r="303" spans="1:11">
      <c r="A303" s="221">
        <v>3.9420299999999999</v>
      </c>
      <c r="B303" s="221" t="s">
        <v>2400</v>
      </c>
      <c r="C303" s="222" t="s">
        <v>2401</v>
      </c>
      <c r="D303" s="221" t="s">
        <v>451</v>
      </c>
      <c r="E303" s="223" t="s">
        <v>1958</v>
      </c>
      <c r="F303" s="223" t="s">
        <v>1958</v>
      </c>
      <c r="G303" s="224" t="s">
        <v>1958</v>
      </c>
      <c r="H303" s="223">
        <v>102</v>
      </c>
      <c r="I303" s="223">
        <v>71</v>
      </c>
      <c r="J303" s="221" t="s">
        <v>1959</v>
      </c>
      <c r="K303" s="222">
        <v>0</v>
      </c>
    </row>
    <row r="304" spans="1:11">
      <c r="A304" s="221">
        <v>3.9420299999999999</v>
      </c>
      <c r="B304" s="221" t="s">
        <v>2402</v>
      </c>
      <c r="C304" s="222" t="s">
        <v>2401</v>
      </c>
      <c r="D304" s="221" t="s">
        <v>451</v>
      </c>
      <c r="E304" s="223" t="s">
        <v>1958</v>
      </c>
      <c r="F304" s="223" t="s">
        <v>1958</v>
      </c>
      <c r="G304" s="224" t="s">
        <v>1958</v>
      </c>
      <c r="H304" s="223">
        <v>69</v>
      </c>
      <c r="I304" s="223">
        <v>95</v>
      </c>
      <c r="J304" s="221" t="s">
        <v>1959</v>
      </c>
      <c r="K304" s="222">
        <v>0</v>
      </c>
    </row>
    <row r="305" spans="1:12">
      <c r="A305" s="221">
        <v>3.9420299999999999</v>
      </c>
      <c r="B305" s="221" t="s">
        <v>2403</v>
      </c>
      <c r="C305" s="222" t="s">
        <v>2401</v>
      </c>
      <c r="D305" s="221" t="s">
        <v>451</v>
      </c>
      <c r="E305" s="223" t="s">
        <v>1958</v>
      </c>
      <c r="F305" s="223" t="s">
        <v>1958</v>
      </c>
      <c r="G305" s="224" t="s">
        <v>1958</v>
      </c>
      <c r="H305" s="223">
        <v>106</v>
      </c>
      <c r="I305" s="223">
        <v>121</v>
      </c>
      <c r="J305" s="221" t="s">
        <v>1969</v>
      </c>
      <c r="K305" s="222">
        <v>0</v>
      </c>
    </row>
    <row r="306" spans="1:12">
      <c r="A306" s="221">
        <v>3.9500099999999998</v>
      </c>
      <c r="B306" s="221" t="s">
        <v>2404</v>
      </c>
      <c r="C306" s="222" t="s">
        <v>2405</v>
      </c>
      <c r="D306" s="221" t="s">
        <v>451</v>
      </c>
      <c r="E306" s="223" t="s">
        <v>1958</v>
      </c>
      <c r="F306" s="223" t="s">
        <v>1958</v>
      </c>
      <c r="G306" s="224" t="s">
        <v>1958</v>
      </c>
      <c r="H306" s="223">
        <v>3095</v>
      </c>
      <c r="I306" s="223">
        <v>135</v>
      </c>
      <c r="J306" s="221" t="s">
        <v>1962</v>
      </c>
      <c r="K306" s="222">
        <v>0</v>
      </c>
    </row>
    <row r="307" spans="1:12">
      <c r="A307" s="221">
        <v>3.9500099999999998</v>
      </c>
      <c r="B307" s="221" t="s">
        <v>2406</v>
      </c>
      <c r="C307" s="222" t="s">
        <v>536</v>
      </c>
      <c r="D307" s="221" t="s">
        <v>451</v>
      </c>
      <c r="E307" s="223" t="s">
        <v>1958</v>
      </c>
      <c r="F307" s="223" t="s">
        <v>1958</v>
      </c>
      <c r="G307" s="224" t="s">
        <v>1958</v>
      </c>
      <c r="H307" s="223">
        <v>75</v>
      </c>
      <c r="I307" s="223">
        <v>135</v>
      </c>
      <c r="J307" s="221" t="s">
        <v>1959</v>
      </c>
      <c r="K307" s="222">
        <v>0</v>
      </c>
    </row>
    <row r="308" spans="1:12">
      <c r="A308" s="221">
        <v>3.9500099999999998</v>
      </c>
      <c r="B308" s="221" t="s">
        <v>2407</v>
      </c>
      <c r="C308" s="222" t="s">
        <v>536</v>
      </c>
      <c r="D308" s="221" t="s">
        <v>451</v>
      </c>
      <c r="E308" s="223" t="s">
        <v>1958</v>
      </c>
      <c r="F308" s="223" t="s">
        <v>1958</v>
      </c>
      <c r="G308" s="224" t="s">
        <v>1958</v>
      </c>
      <c r="H308" s="223">
        <v>304</v>
      </c>
      <c r="I308" s="223">
        <v>144</v>
      </c>
      <c r="J308" s="221" t="s">
        <v>1969</v>
      </c>
      <c r="K308" s="222">
        <v>0</v>
      </c>
    </row>
    <row r="309" spans="1:12">
      <c r="A309" s="221">
        <v>3.9500099999999998</v>
      </c>
      <c r="B309" s="221" t="s">
        <v>2408</v>
      </c>
      <c r="C309" s="222" t="s">
        <v>536</v>
      </c>
      <c r="D309" s="221" t="s">
        <v>451</v>
      </c>
      <c r="E309" s="223" t="s">
        <v>1958</v>
      </c>
      <c r="F309" s="223" t="s">
        <v>1958</v>
      </c>
      <c r="G309" s="224" t="s">
        <v>1958</v>
      </c>
      <c r="H309" s="223">
        <v>304</v>
      </c>
      <c r="I309" s="223">
        <v>144</v>
      </c>
      <c r="J309" s="221" t="s">
        <v>1959</v>
      </c>
      <c r="K309" s="222">
        <v>0</v>
      </c>
    </row>
    <row r="310" spans="1:12">
      <c r="A310" s="221">
        <v>3.9500199999999999</v>
      </c>
      <c r="B310" s="221" t="s">
        <v>2409</v>
      </c>
      <c r="C310" s="227" t="s">
        <v>2340</v>
      </c>
      <c r="D310" s="228" t="s">
        <v>451</v>
      </c>
      <c r="E310" s="223" t="s">
        <v>1958</v>
      </c>
      <c r="F310" s="225" t="s">
        <v>1958</v>
      </c>
      <c r="G310" s="225" t="s">
        <v>1958</v>
      </c>
      <c r="H310" s="225">
        <v>193</v>
      </c>
      <c r="I310" s="225">
        <v>95</v>
      </c>
      <c r="J310" s="218" t="s">
        <v>1969</v>
      </c>
      <c r="K310" s="229">
        <v>0</v>
      </c>
      <c r="L310" s="213"/>
    </row>
    <row r="311" spans="1:12">
      <c r="A311" s="426" t="s">
        <v>2410</v>
      </c>
      <c r="B311" s="427"/>
      <c r="C311" s="428"/>
      <c r="D311" s="215"/>
      <c r="E311" s="225"/>
      <c r="F311" s="225">
        <v>12772</v>
      </c>
      <c r="G311" s="226"/>
      <c r="H311" s="225">
        <v>199074</v>
      </c>
      <c r="I311" s="225"/>
      <c r="J311" s="215"/>
      <c r="K311" s="222"/>
    </row>
    <row r="312" spans="1:12">
      <c r="A312" s="221">
        <v>4.1101999999999999</v>
      </c>
      <c r="B312" s="221" t="s">
        <v>2411</v>
      </c>
      <c r="C312" s="222" t="s">
        <v>2412</v>
      </c>
      <c r="D312" s="221" t="s">
        <v>1979</v>
      </c>
      <c r="E312" s="223" t="s">
        <v>1958</v>
      </c>
      <c r="F312" s="223">
        <v>4492</v>
      </c>
      <c r="G312" s="224">
        <v>18.670000000000002</v>
      </c>
      <c r="H312" s="223">
        <v>53597</v>
      </c>
      <c r="I312" s="223">
        <v>65</v>
      </c>
      <c r="J312" s="221" t="s">
        <v>1962</v>
      </c>
      <c r="K312" s="222" t="s">
        <v>2413</v>
      </c>
    </row>
    <row r="313" spans="1:12">
      <c r="A313" s="221">
        <v>4.1101999999999999</v>
      </c>
      <c r="B313" s="221" t="s">
        <v>2414</v>
      </c>
      <c r="C313" s="222" t="s">
        <v>2415</v>
      </c>
      <c r="D313" s="221" t="s">
        <v>1979</v>
      </c>
      <c r="E313" s="223" t="s">
        <v>1958</v>
      </c>
      <c r="F313" s="223">
        <v>4649</v>
      </c>
      <c r="G313" s="224">
        <v>18.670000000000002</v>
      </c>
      <c r="H313" s="223">
        <v>49406</v>
      </c>
      <c r="I313" s="223">
        <v>95</v>
      </c>
      <c r="J313" s="221" t="s">
        <v>1962</v>
      </c>
      <c r="K313" s="222" t="s">
        <v>2413</v>
      </c>
    </row>
    <row r="314" spans="1:12">
      <c r="A314" s="221">
        <v>4.112101</v>
      </c>
      <c r="B314" s="221" t="s">
        <v>2416</v>
      </c>
      <c r="C314" s="222" t="s">
        <v>2417</v>
      </c>
      <c r="D314" s="221" t="s">
        <v>2034</v>
      </c>
      <c r="E314" s="223" t="s">
        <v>1958</v>
      </c>
      <c r="F314" s="223" t="s">
        <v>1958</v>
      </c>
      <c r="G314" s="224" t="s">
        <v>1958</v>
      </c>
      <c r="H314" s="223">
        <v>8975</v>
      </c>
      <c r="I314" s="223">
        <v>84</v>
      </c>
      <c r="J314" s="221" t="s">
        <v>1969</v>
      </c>
      <c r="K314" s="222" t="s">
        <v>2418</v>
      </c>
    </row>
    <row r="315" spans="1:12">
      <c r="A315" s="221">
        <v>4.112101</v>
      </c>
      <c r="B315" s="221" t="s">
        <v>2419</v>
      </c>
      <c r="C315" s="222" t="s">
        <v>2420</v>
      </c>
      <c r="D315" s="221" t="s">
        <v>2034</v>
      </c>
      <c r="E315" s="223" t="s">
        <v>1958</v>
      </c>
      <c r="F315" s="223" t="s">
        <v>1958</v>
      </c>
      <c r="G315" s="224" t="s">
        <v>1958</v>
      </c>
      <c r="H315" s="223">
        <v>8072</v>
      </c>
      <c r="I315" s="223">
        <v>109</v>
      </c>
      <c r="J315" s="221" t="s">
        <v>1959</v>
      </c>
      <c r="K315" s="222" t="s">
        <v>2418</v>
      </c>
    </row>
    <row r="316" spans="1:12">
      <c r="A316" s="221">
        <v>4.2100099999999996</v>
      </c>
      <c r="B316" s="221" t="s">
        <v>2421</v>
      </c>
      <c r="C316" s="222" t="s">
        <v>2334</v>
      </c>
      <c r="D316" s="221" t="s">
        <v>451</v>
      </c>
      <c r="E316" s="223" t="s">
        <v>1958</v>
      </c>
      <c r="F316" s="223" t="s">
        <v>1958</v>
      </c>
      <c r="G316" s="224" t="s">
        <v>1958</v>
      </c>
      <c r="H316" s="223">
        <v>1013</v>
      </c>
      <c r="I316" s="223">
        <v>135</v>
      </c>
      <c r="J316" s="221" t="s">
        <v>1969</v>
      </c>
      <c r="K316" s="222">
        <v>0</v>
      </c>
    </row>
    <row r="317" spans="1:12">
      <c r="A317" s="221">
        <v>4.2100099999999996</v>
      </c>
      <c r="B317" s="221" t="s">
        <v>2422</v>
      </c>
      <c r="C317" s="222" t="s">
        <v>2367</v>
      </c>
      <c r="D317" s="221" t="s">
        <v>451</v>
      </c>
      <c r="E317" s="223" t="s">
        <v>1958</v>
      </c>
      <c r="F317" s="223" t="s">
        <v>1958</v>
      </c>
      <c r="G317" s="224" t="s">
        <v>1958</v>
      </c>
      <c r="H317" s="223">
        <v>1987</v>
      </c>
      <c r="I317" s="223" t="s">
        <v>351</v>
      </c>
      <c r="J317" s="221" t="s">
        <v>1962</v>
      </c>
      <c r="K317" s="222">
        <v>0</v>
      </c>
    </row>
    <row r="318" spans="1:12">
      <c r="A318" s="221">
        <v>4.3100100000000001</v>
      </c>
      <c r="B318" s="221" t="s">
        <v>2423</v>
      </c>
      <c r="C318" s="222" t="s">
        <v>2424</v>
      </c>
      <c r="D318" s="221" t="s">
        <v>1979</v>
      </c>
      <c r="E318" s="223" t="s">
        <v>1958</v>
      </c>
      <c r="F318" s="223">
        <v>2378</v>
      </c>
      <c r="G318" s="224">
        <v>18.670000000000002</v>
      </c>
      <c r="H318" s="223">
        <v>24949</v>
      </c>
      <c r="I318" s="223">
        <v>121</v>
      </c>
      <c r="J318" s="221" t="s">
        <v>1962</v>
      </c>
      <c r="K318" s="222" t="s">
        <v>2413</v>
      </c>
    </row>
    <row r="319" spans="1:12">
      <c r="A319" s="221">
        <v>4.3200500000000002</v>
      </c>
      <c r="B319" s="221" t="s">
        <v>2425</v>
      </c>
      <c r="C319" s="222" t="s">
        <v>2426</v>
      </c>
      <c r="D319" s="221" t="s">
        <v>1974</v>
      </c>
      <c r="E319" s="223" t="s">
        <v>1958</v>
      </c>
      <c r="F319" s="223">
        <v>914</v>
      </c>
      <c r="G319" s="224">
        <v>10.25</v>
      </c>
      <c r="H319" s="223">
        <v>10578</v>
      </c>
      <c r="I319" s="223">
        <v>152</v>
      </c>
      <c r="J319" s="221" t="s">
        <v>1962</v>
      </c>
      <c r="K319" s="222">
        <v>0</v>
      </c>
    </row>
    <row r="320" spans="1:12">
      <c r="A320" s="221">
        <v>4.3311019999999996</v>
      </c>
      <c r="B320" s="221" t="s">
        <v>2427</v>
      </c>
      <c r="C320" s="222" t="s">
        <v>2428</v>
      </c>
      <c r="D320" s="221" t="s">
        <v>2034</v>
      </c>
      <c r="E320" s="223" t="s">
        <v>1958</v>
      </c>
      <c r="F320" s="223" t="s">
        <v>1958</v>
      </c>
      <c r="G320" s="224">
        <v>9.5</v>
      </c>
      <c r="H320" s="223">
        <v>432</v>
      </c>
      <c r="I320" s="223">
        <v>121</v>
      </c>
      <c r="J320" s="221" t="s">
        <v>1959</v>
      </c>
      <c r="K320" s="222">
        <v>0</v>
      </c>
    </row>
    <row r="321" spans="1:11">
      <c r="A321" s="221">
        <v>4.3319999999999999</v>
      </c>
      <c r="B321" s="221" t="s">
        <v>2429</v>
      </c>
      <c r="C321" s="222" t="s">
        <v>2430</v>
      </c>
      <c r="D321" s="221" t="s">
        <v>1957</v>
      </c>
      <c r="E321" s="223" t="s">
        <v>1958</v>
      </c>
      <c r="F321" s="223">
        <v>90</v>
      </c>
      <c r="G321" s="224">
        <v>9.8332999999999995</v>
      </c>
      <c r="H321" s="223">
        <v>678</v>
      </c>
      <c r="I321" s="223">
        <v>56</v>
      </c>
      <c r="J321" s="221" t="s">
        <v>1969</v>
      </c>
      <c r="K321" s="222">
        <v>0</v>
      </c>
    </row>
    <row r="322" spans="1:11">
      <c r="A322" s="221">
        <v>4.3420100000000001</v>
      </c>
      <c r="B322" s="221" t="s">
        <v>2431</v>
      </c>
      <c r="C322" s="222" t="s">
        <v>2432</v>
      </c>
      <c r="D322" s="221" t="s">
        <v>2034</v>
      </c>
      <c r="E322" s="223" t="s">
        <v>1958</v>
      </c>
      <c r="F322" s="223">
        <v>347</v>
      </c>
      <c r="G322" s="224">
        <v>9.5</v>
      </c>
      <c r="H322" s="223">
        <v>3228</v>
      </c>
      <c r="I322" s="223">
        <v>129</v>
      </c>
      <c r="J322" s="221" t="s">
        <v>1959</v>
      </c>
      <c r="K322" s="222">
        <v>0</v>
      </c>
    </row>
    <row r="323" spans="1:11">
      <c r="A323" s="221">
        <v>4.3420300000000003</v>
      </c>
      <c r="B323" s="221" t="s">
        <v>2433</v>
      </c>
      <c r="C323" s="222" t="s">
        <v>2434</v>
      </c>
      <c r="D323" s="221" t="s">
        <v>2034</v>
      </c>
      <c r="E323" s="223" t="s">
        <v>1958</v>
      </c>
      <c r="F323" s="223">
        <v>133</v>
      </c>
      <c r="G323" s="224">
        <v>9.5</v>
      </c>
      <c r="H323" s="223">
        <v>1229</v>
      </c>
      <c r="I323" s="223">
        <v>144</v>
      </c>
      <c r="J323" s="221" t="s">
        <v>1959</v>
      </c>
      <c r="K323" s="222">
        <v>0</v>
      </c>
    </row>
    <row r="324" spans="1:11">
      <c r="A324" s="221">
        <v>4.3620099999999997</v>
      </c>
      <c r="B324" s="221" t="s">
        <v>2435</v>
      </c>
      <c r="C324" s="222" t="s">
        <v>2436</v>
      </c>
      <c r="D324" s="221" t="s">
        <v>1985</v>
      </c>
      <c r="E324" s="223" t="s">
        <v>1958</v>
      </c>
      <c r="F324" s="223">
        <v>142</v>
      </c>
      <c r="G324" s="224">
        <v>9.83</v>
      </c>
      <c r="H324" s="223">
        <v>1396</v>
      </c>
      <c r="I324" s="223">
        <v>71</v>
      </c>
      <c r="J324" s="221" t="s">
        <v>1962</v>
      </c>
      <c r="K324" s="222">
        <v>0</v>
      </c>
    </row>
    <row r="325" spans="1:11">
      <c r="A325" s="221">
        <v>4.3620099999999997</v>
      </c>
      <c r="B325" s="221" t="s">
        <v>2437</v>
      </c>
      <c r="C325" s="222" t="s">
        <v>2436</v>
      </c>
      <c r="D325" s="221" t="s">
        <v>1957</v>
      </c>
      <c r="E325" s="223" t="s">
        <v>1958</v>
      </c>
      <c r="F325" s="223">
        <v>113</v>
      </c>
      <c r="G325" s="224">
        <v>9.8332999999999995</v>
      </c>
      <c r="H325" s="223">
        <v>1072</v>
      </c>
      <c r="I325" s="223">
        <v>61</v>
      </c>
      <c r="J325" s="221" t="s">
        <v>1969</v>
      </c>
      <c r="K325" s="222">
        <v>0</v>
      </c>
    </row>
    <row r="326" spans="1:11">
      <c r="A326" s="221">
        <v>4.3620099999999997</v>
      </c>
      <c r="B326" s="221" t="s">
        <v>2438</v>
      </c>
      <c r="C326" s="222" t="s">
        <v>2436</v>
      </c>
      <c r="D326" s="221" t="s">
        <v>1957</v>
      </c>
      <c r="E326" s="223" t="s">
        <v>1958</v>
      </c>
      <c r="F326" s="223">
        <v>91</v>
      </c>
      <c r="G326" s="224">
        <v>9.8332999999999995</v>
      </c>
      <c r="H326" s="223">
        <v>841</v>
      </c>
      <c r="I326" s="223">
        <v>64</v>
      </c>
      <c r="J326" s="221" t="s">
        <v>1959</v>
      </c>
      <c r="K326" s="222">
        <v>0</v>
      </c>
    </row>
    <row r="327" spans="1:11">
      <c r="A327" s="221">
        <v>4.3620099999999997</v>
      </c>
      <c r="B327" s="221" t="s">
        <v>2439</v>
      </c>
      <c r="C327" s="222" t="s">
        <v>2436</v>
      </c>
      <c r="D327" s="221" t="s">
        <v>1957</v>
      </c>
      <c r="E327" s="223" t="s">
        <v>1958</v>
      </c>
      <c r="F327" s="223">
        <v>213</v>
      </c>
      <c r="G327" s="224">
        <v>9.8332999999999995</v>
      </c>
      <c r="H327" s="223">
        <v>2094</v>
      </c>
      <c r="I327" s="223">
        <v>91</v>
      </c>
      <c r="J327" s="221" t="s">
        <v>1959</v>
      </c>
      <c r="K327" s="222">
        <v>0</v>
      </c>
    </row>
    <row r="328" spans="1:11">
      <c r="A328" s="221">
        <v>4.3620099999999997</v>
      </c>
      <c r="B328" s="221" t="s">
        <v>2440</v>
      </c>
      <c r="C328" s="222" t="s">
        <v>2436</v>
      </c>
      <c r="D328" s="221" t="s">
        <v>397</v>
      </c>
      <c r="E328" s="223" t="s">
        <v>1958</v>
      </c>
      <c r="F328" s="223">
        <v>79</v>
      </c>
      <c r="G328" s="224">
        <v>9.58</v>
      </c>
      <c r="H328" s="223">
        <v>757</v>
      </c>
      <c r="I328" s="223">
        <v>50</v>
      </c>
      <c r="J328" s="221" t="s">
        <v>1969</v>
      </c>
      <c r="K328" s="222">
        <v>0</v>
      </c>
    </row>
    <row r="329" spans="1:11">
      <c r="A329" s="221">
        <v>4.3620099999999997</v>
      </c>
      <c r="B329" s="221" t="s">
        <v>2441</v>
      </c>
      <c r="C329" s="222" t="s">
        <v>2436</v>
      </c>
      <c r="D329" s="221" t="s">
        <v>397</v>
      </c>
      <c r="E329" s="223" t="s">
        <v>1958</v>
      </c>
      <c r="F329" s="223">
        <v>50</v>
      </c>
      <c r="G329" s="224">
        <v>9.58</v>
      </c>
      <c r="H329" s="223">
        <v>470</v>
      </c>
      <c r="I329" s="223">
        <v>71</v>
      </c>
      <c r="J329" s="221" t="s">
        <v>1959</v>
      </c>
      <c r="K329" s="222">
        <v>0</v>
      </c>
    </row>
    <row r="330" spans="1:11">
      <c r="A330" s="221">
        <v>4.3620099999999997</v>
      </c>
      <c r="B330" s="221" t="s">
        <v>2442</v>
      </c>
      <c r="C330" s="222" t="s">
        <v>2436</v>
      </c>
      <c r="D330" s="221" t="s">
        <v>397</v>
      </c>
      <c r="E330" s="223" t="s">
        <v>1958</v>
      </c>
      <c r="F330" s="223">
        <v>163</v>
      </c>
      <c r="G330" s="224">
        <v>9.58</v>
      </c>
      <c r="H330" s="223">
        <v>1562</v>
      </c>
      <c r="I330" s="223">
        <v>80</v>
      </c>
      <c r="J330" s="221" t="s">
        <v>1962</v>
      </c>
      <c r="K330" s="222">
        <v>0</v>
      </c>
    </row>
    <row r="331" spans="1:11">
      <c r="A331" s="221">
        <v>4.3620099999999997</v>
      </c>
      <c r="B331" s="221" t="s">
        <v>2443</v>
      </c>
      <c r="C331" s="222" t="s">
        <v>2436</v>
      </c>
      <c r="D331" s="221" t="s">
        <v>2034</v>
      </c>
      <c r="E331" s="223" t="s">
        <v>1958</v>
      </c>
      <c r="F331" s="223">
        <v>53</v>
      </c>
      <c r="G331" s="224">
        <v>9.5</v>
      </c>
      <c r="H331" s="223">
        <v>764</v>
      </c>
      <c r="I331" s="223">
        <v>26</v>
      </c>
      <c r="J331" s="221" t="s">
        <v>1959</v>
      </c>
      <c r="K331" s="222" t="s">
        <v>2218</v>
      </c>
    </row>
    <row r="332" spans="1:11">
      <c r="A332" s="221">
        <v>4.3620099999999997</v>
      </c>
      <c r="B332" s="221" t="s">
        <v>2444</v>
      </c>
      <c r="C332" s="222" t="s">
        <v>2436</v>
      </c>
      <c r="D332" s="221" t="s">
        <v>2034</v>
      </c>
      <c r="E332" s="223">
        <v>200</v>
      </c>
      <c r="F332" s="223">
        <v>250</v>
      </c>
      <c r="G332" s="224">
        <v>9.5</v>
      </c>
      <c r="H332" s="223">
        <v>2355</v>
      </c>
      <c r="I332" s="223">
        <v>109</v>
      </c>
      <c r="J332" s="221" t="s">
        <v>1969</v>
      </c>
      <c r="K332" s="222">
        <v>0</v>
      </c>
    </row>
    <row r="333" spans="1:11">
      <c r="A333" s="221">
        <v>4.3620099999999997</v>
      </c>
      <c r="B333" s="221" t="s">
        <v>2445</v>
      </c>
      <c r="C333" s="222" t="s">
        <v>2446</v>
      </c>
      <c r="D333" s="221" t="s">
        <v>2034</v>
      </c>
      <c r="E333" s="223">
        <v>122</v>
      </c>
      <c r="F333" s="223">
        <v>169</v>
      </c>
      <c r="G333" s="224">
        <v>9.5</v>
      </c>
      <c r="H333" s="223">
        <v>1639</v>
      </c>
      <c r="I333" s="223">
        <v>121</v>
      </c>
      <c r="J333" s="221" t="s">
        <v>1959</v>
      </c>
      <c r="K333" s="222">
        <v>0</v>
      </c>
    </row>
    <row r="334" spans="1:11">
      <c r="A334" s="221">
        <v>4.3620299999999999</v>
      </c>
      <c r="B334" s="221" t="s">
        <v>2447</v>
      </c>
      <c r="C334" s="222" t="s">
        <v>2448</v>
      </c>
      <c r="D334" s="221" t="s">
        <v>397</v>
      </c>
      <c r="E334" s="223" t="s">
        <v>1958</v>
      </c>
      <c r="F334" s="223" t="s">
        <v>1958</v>
      </c>
      <c r="G334" s="224">
        <v>9.58</v>
      </c>
      <c r="H334" s="223">
        <v>326</v>
      </c>
      <c r="I334" s="223">
        <v>109</v>
      </c>
      <c r="J334" s="221" t="s">
        <v>1959</v>
      </c>
      <c r="K334" s="222">
        <v>0</v>
      </c>
    </row>
    <row r="335" spans="1:11">
      <c r="A335" s="221">
        <v>4.3620299999999999</v>
      </c>
      <c r="B335" s="221" t="s">
        <v>2449</v>
      </c>
      <c r="C335" s="222" t="s">
        <v>2448</v>
      </c>
      <c r="D335" s="221" t="s">
        <v>397</v>
      </c>
      <c r="E335" s="223" t="s">
        <v>1958</v>
      </c>
      <c r="F335" s="223" t="s">
        <v>1958</v>
      </c>
      <c r="G335" s="224">
        <v>9.58</v>
      </c>
      <c r="H335" s="223">
        <v>326</v>
      </c>
      <c r="I335" s="223">
        <v>109</v>
      </c>
      <c r="J335" s="221" t="s">
        <v>1969</v>
      </c>
      <c r="K335" s="222">
        <v>0</v>
      </c>
    </row>
    <row r="336" spans="1:11">
      <c r="A336" s="221">
        <v>4.3620299999999999</v>
      </c>
      <c r="B336" s="221" t="s">
        <v>2450</v>
      </c>
      <c r="C336" s="222" t="s">
        <v>2448</v>
      </c>
      <c r="D336" s="221" t="s">
        <v>397</v>
      </c>
      <c r="E336" s="223" t="s">
        <v>1958</v>
      </c>
      <c r="F336" s="223" t="s">
        <v>1958</v>
      </c>
      <c r="G336" s="224">
        <v>9.58</v>
      </c>
      <c r="H336" s="223">
        <v>176</v>
      </c>
      <c r="I336" s="223">
        <v>126</v>
      </c>
      <c r="J336" s="221" t="s">
        <v>1969</v>
      </c>
      <c r="K336" s="222">
        <v>0</v>
      </c>
    </row>
    <row r="337" spans="1:12" s="232" customFormat="1">
      <c r="A337" s="221">
        <v>4.3620299999999999</v>
      </c>
      <c r="B337" s="221" t="s">
        <v>2451</v>
      </c>
      <c r="C337" s="227" t="s">
        <v>2448</v>
      </c>
      <c r="D337" s="228" t="s">
        <v>2034</v>
      </c>
      <c r="E337" s="223" t="s">
        <v>1958</v>
      </c>
      <c r="F337" s="223" t="s">
        <v>1958</v>
      </c>
      <c r="G337" s="223">
        <v>9.5</v>
      </c>
      <c r="H337" s="223">
        <v>836</v>
      </c>
      <c r="I337" s="223">
        <v>80</v>
      </c>
      <c r="J337" s="228" t="s">
        <v>1969</v>
      </c>
      <c r="K337" s="229">
        <v>0</v>
      </c>
      <c r="L337" s="233"/>
    </row>
    <row r="338" spans="1:12">
      <c r="A338" s="426" t="s">
        <v>2452</v>
      </c>
      <c r="B338" s="427"/>
      <c r="C338" s="428"/>
      <c r="D338" s="215"/>
      <c r="E338" s="225"/>
      <c r="F338" s="225">
        <v>14326</v>
      </c>
      <c r="G338" s="226"/>
      <c r="H338" s="225">
        <v>178758</v>
      </c>
      <c r="I338" s="225"/>
      <c r="J338" s="215"/>
      <c r="K338" s="231"/>
    </row>
    <row r="339" spans="1:12">
      <c r="A339" s="221">
        <v>5.0999999999999996</v>
      </c>
      <c r="B339" s="221" t="s">
        <v>2453</v>
      </c>
      <c r="C339" s="222" t="s">
        <v>2454</v>
      </c>
      <c r="D339" s="221" t="s">
        <v>1957</v>
      </c>
      <c r="E339" s="223" t="s">
        <v>1958</v>
      </c>
      <c r="F339" s="223">
        <v>79</v>
      </c>
      <c r="G339" s="224">
        <v>9.8332999999999995</v>
      </c>
      <c r="H339" s="223">
        <v>683</v>
      </c>
      <c r="I339" s="223">
        <v>58</v>
      </c>
      <c r="J339" s="221" t="s">
        <v>1959</v>
      </c>
      <c r="K339" s="222">
        <v>0</v>
      </c>
    </row>
    <row r="340" spans="1:12">
      <c r="A340" s="221">
        <v>5.0999999999999996</v>
      </c>
      <c r="B340" s="221" t="s">
        <v>2455</v>
      </c>
      <c r="C340" s="222" t="s">
        <v>2454</v>
      </c>
      <c r="D340" s="221" t="s">
        <v>1989</v>
      </c>
      <c r="E340" s="223" t="s">
        <v>1958</v>
      </c>
      <c r="F340" s="223">
        <v>102</v>
      </c>
      <c r="G340" s="224">
        <v>9.33</v>
      </c>
      <c r="H340" s="223">
        <v>910</v>
      </c>
      <c r="I340" s="223">
        <v>56</v>
      </c>
      <c r="J340" s="221" t="s">
        <v>1959</v>
      </c>
      <c r="K340" s="222">
        <v>0</v>
      </c>
    </row>
    <row r="341" spans="1:12">
      <c r="A341" s="221">
        <v>5.0999999999999996</v>
      </c>
      <c r="B341" s="221" t="s">
        <v>2456</v>
      </c>
      <c r="C341" s="222" t="s">
        <v>2454</v>
      </c>
      <c r="D341" s="221" t="s">
        <v>1989</v>
      </c>
      <c r="E341" s="223" t="s">
        <v>1958</v>
      </c>
      <c r="F341" s="223">
        <v>26</v>
      </c>
      <c r="G341" s="224">
        <v>9.33</v>
      </c>
      <c r="H341" s="223">
        <v>245</v>
      </c>
      <c r="I341" s="223">
        <v>59</v>
      </c>
      <c r="J341" s="221" t="s">
        <v>1959</v>
      </c>
      <c r="K341" s="222">
        <v>0</v>
      </c>
    </row>
    <row r="342" spans="1:12">
      <c r="A342" s="221">
        <v>5.0999999999999996</v>
      </c>
      <c r="B342" s="221" t="s">
        <v>2457</v>
      </c>
      <c r="C342" s="222" t="s">
        <v>2454</v>
      </c>
      <c r="D342" s="221" t="s">
        <v>1989</v>
      </c>
      <c r="E342" s="223" t="s">
        <v>1958</v>
      </c>
      <c r="F342" s="223">
        <v>90</v>
      </c>
      <c r="G342" s="224">
        <v>9.33</v>
      </c>
      <c r="H342" s="223">
        <v>840</v>
      </c>
      <c r="I342" s="223">
        <v>61</v>
      </c>
      <c r="J342" s="221" t="s">
        <v>1969</v>
      </c>
      <c r="K342" s="222">
        <v>0</v>
      </c>
    </row>
    <row r="343" spans="1:12">
      <c r="A343" s="221">
        <v>5.0999999999999996</v>
      </c>
      <c r="B343" s="221" t="s">
        <v>2458</v>
      </c>
      <c r="C343" s="222" t="s">
        <v>2454</v>
      </c>
      <c r="D343" s="221" t="s">
        <v>1989</v>
      </c>
      <c r="E343" s="223" t="s">
        <v>1958</v>
      </c>
      <c r="F343" s="223">
        <v>38</v>
      </c>
      <c r="G343" s="224">
        <v>9.33</v>
      </c>
      <c r="H343" s="223">
        <v>355</v>
      </c>
      <c r="I343" s="223">
        <v>93</v>
      </c>
      <c r="J343" s="221" t="s">
        <v>1969</v>
      </c>
      <c r="K343" s="222">
        <v>0</v>
      </c>
    </row>
    <row r="344" spans="1:12">
      <c r="A344" s="221">
        <v>5.0999999999999996</v>
      </c>
      <c r="B344" s="221" t="s">
        <v>2459</v>
      </c>
      <c r="C344" s="222" t="s">
        <v>2454</v>
      </c>
      <c r="D344" s="221" t="s">
        <v>1989</v>
      </c>
      <c r="E344" s="223" t="s">
        <v>1958</v>
      </c>
      <c r="F344" s="223">
        <v>46</v>
      </c>
      <c r="G344" s="224">
        <v>9.33</v>
      </c>
      <c r="H344" s="223">
        <v>429</v>
      </c>
      <c r="I344" s="223">
        <v>93</v>
      </c>
      <c r="J344" s="221" t="s">
        <v>1959</v>
      </c>
      <c r="K344" s="222">
        <v>0</v>
      </c>
    </row>
    <row r="345" spans="1:12">
      <c r="A345" s="221">
        <v>5.0999999999999996</v>
      </c>
      <c r="B345" s="221" t="s">
        <v>2460</v>
      </c>
      <c r="C345" s="222" t="s">
        <v>2454</v>
      </c>
      <c r="D345" s="221" t="s">
        <v>1989</v>
      </c>
      <c r="E345" s="223" t="s">
        <v>1958</v>
      </c>
      <c r="F345" s="223">
        <v>30</v>
      </c>
      <c r="G345" s="224">
        <v>9.33</v>
      </c>
      <c r="H345" s="223">
        <v>280</v>
      </c>
      <c r="I345" s="223">
        <v>97</v>
      </c>
      <c r="J345" s="221" t="s">
        <v>1969</v>
      </c>
      <c r="K345" s="222">
        <v>0</v>
      </c>
    </row>
    <row r="346" spans="1:12">
      <c r="A346" s="221">
        <v>5.0999999999999996</v>
      </c>
      <c r="B346" s="221" t="s">
        <v>2461</v>
      </c>
      <c r="C346" s="222" t="s">
        <v>2454</v>
      </c>
      <c r="D346" s="221" t="s">
        <v>1989</v>
      </c>
      <c r="E346" s="223" t="s">
        <v>1958</v>
      </c>
      <c r="F346" s="223">
        <v>30</v>
      </c>
      <c r="G346" s="224">
        <v>9.33</v>
      </c>
      <c r="H346" s="223">
        <v>280</v>
      </c>
      <c r="I346" s="223">
        <v>104</v>
      </c>
      <c r="J346" s="221" t="s">
        <v>1959</v>
      </c>
      <c r="K346" s="222">
        <v>0</v>
      </c>
    </row>
    <row r="347" spans="1:12">
      <c r="A347" s="221">
        <v>5.0999999999999996</v>
      </c>
      <c r="B347" s="221" t="s">
        <v>2462</v>
      </c>
      <c r="C347" s="222" t="s">
        <v>2454</v>
      </c>
      <c r="D347" s="221" t="s">
        <v>1989</v>
      </c>
      <c r="E347" s="223" t="s">
        <v>1958</v>
      </c>
      <c r="F347" s="223">
        <v>46</v>
      </c>
      <c r="G347" s="224">
        <v>9.33</v>
      </c>
      <c r="H347" s="223">
        <v>429</v>
      </c>
      <c r="I347" s="223">
        <v>114</v>
      </c>
      <c r="J347" s="221" t="s">
        <v>1969</v>
      </c>
      <c r="K347" s="222">
        <v>0</v>
      </c>
    </row>
    <row r="348" spans="1:12">
      <c r="A348" s="221">
        <v>5.0999999999999996</v>
      </c>
      <c r="B348" s="221" t="s">
        <v>2463</v>
      </c>
      <c r="C348" s="222" t="s">
        <v>2454</v>
      </c>
      <c r="D348" s="221" t="s">
        <v>1989</v>
      </c>
      <c r="E348" s="223" t="s">
        <v>1958</v>
      </c>
      <c r="F348" s="223">
        <v>34</v>
      </c>
      <c r="G348" s="224">
        <v>9.33</v>
      </c>
      <c r="H348" s="223">
        <v>317</v>
      </c>
      <c r="I348" s="223">
        <v>116</v>
      </c>
      <c r="J348" s="221" t="s">
        <v>1969</v>
      </c>
      <c r="K348" s="222">
        <v>0</v>
      </c>
    </row>
    <row r="349" spans="1:12">
      <c r="A349" s="221">
        <v>5.0999999999999996</v>
      </c>
      <c r="B349" s="221" t="s">
        <v>2464</v>
      </c>
      <c r="C349" s="222" t="s">
        <v>2454</v>
      </c>
      <c r="D349" s="221" t="s">
        <v>397</v>
      </c>
      <c r="E349" s="223" t="s">
        <v>1958</v>
      </c>
      <c r="F349" s="223">
        <v>31</v>
      </c>
      <c r="G349" s="224">
        <v>9.58</v>
      </c>
      <c r="H349" s="223">
        <v>240</v>
      </c>
      <c r="I349" s="223">
        <v>31</v>
      </c>
      <c r="J349" s="221" t="s">
        <v>1969</v>
      </c>
      <c r="K349" s="222">
        <v>0</v>
      </c>
    </row>
    <row r="350" spans="1:12">
      <c r="A350" s="221">
        <v>5.0999999999999996</v>
      </c>
      <c r="B350" s="221" t="s">
        <v>2465</v>
      </c>
      <c r="C350" s="222" t="s">
        <v>2454</v>
      </c>
      <c r="D350" s="221" t="s">
        <v>397</v>
      </c>
      <c r="E350" s="223" t="s">
        <v>1958</v>
      </c>
      <c r="F350" s="223">
        <v>50</v>
      </c>
      <c r="G350" s="224">
        <v>9.58</v>
      </c>
      <c r="H350" s="223">
        <v>436</v>
      </c>
      <c r="I350" s="223">
        <v>44</v>
      </c>
      <c r="J350" s="221" t="s">
        <v>1959</v>
      </c>
      <c r="K350" s="222">
        <v>0</v>
      </c>
    </row>
    <row r="351" spans="1:12">
      <c r="A351" s="221">
        <v>5.0999999999999996</v>
      </c>
      <c r="B351" s="221" t="s">
        <v>2466</v>
      </c>
      <c r="C351" s="222" t="s">
        <v>2454</v>
      </c>
      <c r="D351" s="221" t="s">
        <v>397</v>
      </c>
      <c r="E351" s="223" t="s">
        <v>1958</v>
      </c>
      <c r="F351" s="223">
        <v>23</v>
      </c>
      <c r="G351" s="224">
        <v>9.58</v>
      </c>
      <c r="H351" s="223">
        <v>220</v>
      </c>
      <c r="I351" s="223">
        <v>56</v>
      </c>
      <c r="J351" s="221" t="s">
        <v>1969</v>
      </c>
      <c r="K351" s="222">
        <v>0</v>
      </c>
    </row>
    <row r="352" spans="1:12">
      <c r="A352" s="221">
        <v>5.0999999999999996</v>
      </c>
      <c r="B352" s="221" t="s">
        <v>2467</v>
      </c>
      <c r="C352" s="222" t="s">
        <v>2454</v>
      </c>
      <c r="D352" s="221" t="s">
        <v>397</v>
      </c>
      <c r="E352" s="223" t="s">
        <v>1958</v>
      </c>
      <c r="F352" s="223">
        <v>43</v>
      </c>
      <c r="G352" s="224">
        <v>9.58</v>
      </c>
      <c r="H352" s="223">
        <v>412</v>
      </c>
      <c r="I352" s="223">
        <v>80</v>
      </c>
      <c r="J352" s="221" t="s">
        <v>1969</v>
      </c>
      <c r="K352" s="222">
        <v>0</v>
      </c>
    </row>
    <row r="353" spans="1:11">
      <c r="A353" s="221">
        <v>5.0999999999999996</v>
      </c>
      <c r="B353" s="221" t="s">
        <v>2468</v>
      </c>
      <c r="C353" s="222" t="s">
        <v>2454</v>
      </c>
      <c r="D353" s="221" t="s">
        <v>397</v>
      </c>
      <c r="E353" s="223" t="s">
        <v>1958</v>
      </c>
      <c r="F353" s="223">
        <v>38</v>
      </c>
      <c r="G353" s="224">
        <v>9.58</v>
      </c>
      <c r="H353" s="223">
        <v>364</v>
      </c>
      <c r="I353" s="223">
        <v>84</v>
      </c>
      <c r="J353" s="221" t="s">
        <v>1959</v>
      </c>
      <c r="K353" s="222">
        <v>0</v>
      </c>
    </row>
    <row r="354" spans="1:11">
      <c r="A354" s="221">
        <v>5.0999999999999996</v>
      </c>
      <c r="B354" s="221" t="s">
        <v>2469</v>
      </c>
      <c r="C354" s="222" t="s">
        <v>2454</v>
      </c>
      <c r="D354" s="221" t="s">
        <v>2034</v>
      </c>
      <c r="E354" s="223" t="s">
        <v>1958</v>
      </c>
      <c r="F354" s="223">
        <v>20</v>
      </c>
      <c r="G354" s="224">
        <v>10.23</v>
      </c>
      <c r="H354" s="223">
        <v>216</v>
      </c>
      <c r="I354" s="223">
        <v>21</v>
      </c>
      <c r="J354" s="221" t="s">
        <v>1959</v>
      </c>
      <c r="K354" s="222" t="s">
        <v>2470</v>
      </c>
    </row>
    <row r="355" spans="1:11">
      <c r="A355" s="221">
        <v>5.0999999999999996</v>
      </c>
      <c r="B355" s="221" t="s">
        <v>2471</v>
      </c>
      <c r="C355" s="222" t="s">
        <v>2454</v>
      </c>
      <c r="D355" s="221" t="s">
        <v>2034</v>
      </c>
      <c r="E355" s="223" t="s">
        <v>1958</v>
      </c>
      <c r="F355" s="223">
        <v>34</v>
      </c>
      <c r="G355" s="224">
        <v>10.23</v>
      </c>
      <c r="H355" s="223">
        <v>644</v>
      </c>
      <c r="I355" s="223">
        <v>21</v>
      </c>
      <c r="J355" s="221" t="s">
        <v>1959</v>
      </c>
      <c r="K355" s="222">
        <v>0</v>
      </c>
    </row>
    <row r="356" spans="1:11">
      <c r="A356" s="221">
        <v>5.0999999999999996</v>
      </c>
      <c r="B356" s="221" t="s">
        <v>2472</v>
      </c>
      <c r="C356" s="222" t="s">
        <v>2454</v>
      </c>
      <c r="D356" s="221" t="s">
        <v>2034</v>
      </c>
      <c r="E356" s="223" t="s">
        <v>1958</v>
      </c>
      <c r="F356" s="223">
        <v>10</v>
      </c>
      <c r="G356" s="224">
        <v>10.23</v>
      </c>
      <c r="H356" s="223">
        <v>103</v>
      </c>
      <c r="I356" s="223">
        <v>25</v>
      </c>
      <c r="J356" s="221" t="s">
        <v>1959</v>
      </c>
      <c r="K356" s="222">
        <v>0</v>
      </c>
    </row>
    <row r="357" spans="1:11">
      <c r="A357" s="221">
        <v>5.0999999999999996</v>
      </c>
      <c r="B357" s="221" t="s">
        <v>2473</v>
      </c>
      <c r="C357" s="222" t="s">
        <v>2454</v>
      </c>
      <c r="D357" s="221" t="s">
        <v>2034</v>
      </c>
      <c r="E357" s="223" t="s">
        <v>1958</v>
      </c>
      <c r="F357" s="223">
        <v>10</v>
      </c>
      <c r="G357" s="224">
        <v>9.5</v>
      </c>
      <c r="H357" s="223">
        <v>224</v>
      </c>
      <c r="I357" s="223">
        <v>33</v>
      </c>
      <c r="J357" s="221" t="s">
        <v>1969</v>
      </c>
      <c r="K357" s="222">
        <v>0</v>
      </c>
    </row>
    <row r="358" spans="1:11">
      <c r="A358" s="221">
        <v>5.0999999999999996</v>
      </c>
      <c r="B358" s="221" t="s">
        <v>2474</v>
      </c>
      <c r="C358" s="222" t="s">
        <v>2454</v>
      </c>
      <c r="D358" s="221" t="s">
        <v>2034</v>
      </c>
      <c r="E358" s="223" t="s">
        <v>1958</v>
      </c>
      <c r="F358" s="223">
        <v>10</v>
      </c>
      <c r="G358" s="224">
        <v>9.5</v>
      </c>
      <c r="H358" s="223">
        <v>224</v>
      </c>
      <c r="I358" s="223">
        <v>33</v>
      </c>
      <c r="J358" s="221" t="s">
        <v>1959</v>
      </c>
      <c r="K358" s="222">
        <v>0</v>
      </c>
    </row>
    <row r="359" spans="1:11">
      <c r="A359" s="221">
        <v>5.0999999999999996</v>
      </c>
      <c r="B359" s="221" t="s">
        <v>2475</v>
      </c>
      <c r="C359" s="222" t="s">
        <v>2454</v>
      </c>
      <c r="D359" s="221" t="s">
        <v>2034</v>
      </c>
      <c r="E359" s="223" t="s">
        <v>1958</v>
      </c>
      <c r="F359" s="223">
        <v>76</v>
      </c>
      <c r="G359" s="224">
        <v>9.5</v>
      </c>
      <c r="H359" s="223">
        <v>277</v>
      </c>
      <c r="I359" s="223">
        <v>36</v>
      </c>
      <c r="J359" s="221" t="s">
        <v>1969</v>
      </c>
      <c r="K359" s="222">
        <v>0</v>
      </c>
    </row>
    <row r="360" spans="1:11">
      <c r="A360" s="221">
        <v>5.0999999999999996</v>
      </c>
      <c r="B360" s="221" t="s">
        <v>2476</v>
      </c>
      <c r="C360" s="222" t="s">
        <v>2454</v>
      </c>
      <c r="D360" s="221" t="s">
        <v>2034</v>
      </c>
      <c r="E360" s="223" t="s">
        <v>1958</v>
      </c>
      <c r="F360" s="223">
        <v>23</v>
      </c>
      <c r="G360" s="224">
        <v>9.5</v>
      </c>
      <c r="H360" s="223">
        <v>328</v>
      </c>
      <c r="I360" s="223">
        <v>39</v>
      </c>
      <c r="J360" s="221" t="s">
        <v>1959</v>
      </c>
      <c r="K360" s="222">
        <v>0</v>
      </c>
    </row>
    <row r="361" spans="1:11">
      <c r="A361" s="221">
        <v>5.0999999999999996</v>
      </c>
      <c r="B361" s="221" t="s">
        <v>2477</v>
      </c>
      <c r="C361" s="222" t="s">
        <v>2454</v>
      </c>
      <c r="D361" s="221" t="s">
        <v>2034</v>
      </c>
      <c r="E361" s="223" t="s">
        <v>1958</v>
      </c>
      <c r="F361" s="223">
        <v>127</v>
      </c>
      <c r="G361" s="224">
        <v>9.5</v>
      </c>
      <c r="H361" s="223">
        <v>1366</v>
      </c>
      <c r="I361" s="223">
        <v>56</v>
      </c>
      <c r="J361" s="221" t="s">
        <v>1959</v>
      </c>
      <c r="K361" s="222">
        <v>0</v>
      </c>
    </row>
    <row r="362" spans="1:11">
      <c r="A362" s="221">
        <v>5.0999999999999996</v>
      </c>
      <c r="B362" s="221" t="s">
        <v>2478</v>
      </c>
      <c r="C362" s="222" t="s">
        <v>2454</v>
      </c>
      <c r="D362" s="221" t="s">
        <v>2034</v>
      </c>
      <c r="E362" s="223" t="s">
        <v>1958</v>
      </c>
      <c r="F362" s="223">
        <v>32</v>
      </c>
      <c r="G362" s="224">
        <v>9.5</v>
      </c>
      <c r="H362" s="223">
        <v>291</v>
      </c>
      <c r="I362" s="223">
        <v>79</v>
      </c>
      <c r="J362" s="221" t="s">
        <v>1959</v>
      </c>
      <c r="K362" s="222">
        <v>0</v>
      </c>
    </row>
    <row r="363" spans="1:11">
      <c r="A363" s="221">
        <v>5.0999999999999996</v>
      </c>
      <c r="B363" s="221" t="s">
        <v>2479</v>
      </c>
      <c r="C363" s="222" t="s">
        <v>2454</v>
      </c>
      <c r="D363" s="221" t="s">
        <v>2034</v>
      </c>
      <c r="E363" s="223" t="s">
        <v>1958</v>
      </c>
      <c r="F363" s="223">
        <v>24</v>
      </c>
      <c r="G363" s="224">
        <v>9.5</v>
      </c>
      <c r="H363" s="223">
        <v>236</v>
      </c>
      <c r="I363" s="223">
        <v>92</v>
      </c>
      <c r="J363" s="221" t="s">
        <v>1959</v>
      </c>
      <c r="K363" s="222">
        <v>0</v>
      </c>
    </row>
    <row r="364" spans="1:11">
      <c r="A364" s="221">
        <v>5.0999999999999996</v>
      </c>
      <c r="B364" s="221" t="s">
        <v>2480</v>
      </c>
      <c r="C364" s="222" t="s">
        <v>2454</v>
      </c>
      <c r="D364" s="221" t="s">
        <v>2034</v>
      </c>
      <c r="E364" s="223" t="s">
        <v>1958</v>
      </c>
      <c r="F364" s="223">
        <v>58</v>
      </c>
      <c r="G364" s="224">
        <v>9.5</v>
      </c>
      <c r="H364" s="223">
        <v>546</v>
      </c>
      <c r="I364" s="223">
        <v>118</v>
      </c>
      <c r="J364" s="221" t="s">
        <v>1959</v>
      </c>
      <c r="K364" s="222">
        <v>0</v>
      </c>
    </row>
    <row r="365" spans="1:11">
      <c r="A365" s="221">
        <v>5.0999999999999996</v>
      </c>
      <c r="B365" s="221" t="s">
        <v>2481</v>
      </c>
      <c r="C365" s="222" t="s">
        <v>2454</v>
      </c>
      <c r="D365" s="221" t="s">
        <v>2034</v>
      </c>
      <c r="E365" s="223" t="s">
        <v>1958</v>
      </c>
      <c r="F365" s="223">
        <v>31</v>
      </c>
      <c r="G365" s="224">
        <v>9.5</v>
      </c>
      <c r="H365" s="223">
        <v>292</v>
      </c>
      <c r="I365" s="223">
        <v>119</v>
      </c>
      <c r="J365" s="221" t="s">
        <v>1959</v>
      </c>
      <c r="K365" s="222">
        <v>0</v>
      </c>
    </row>
    <row r="366" spans="1:11">
      <c r="A366" s="221">
        <v>5.0999999999999996</v>
      </c>
      <c r="B366" s="221" t="s">
        <v>2482</v>
      </c>
      <c r="C366" s="222" t="s">
        <v>2454</v>
      </c>
      <c r="D366" s="221" t="s">
        <v>2034</v>
      </c>
      <c r="E366" s="223" t="s">
        <v>1958</v>
      </c>
      <c r="F366" s="223">
        <v>18</v>
      </c>
      <c r="G366" s="224">
        <v>9.5</v>
      </c>
      <c r="H366" s="223">
        <v>168</v>
      </c>
      <c r="I366" s="223">
        <v>124</v>
      </c>
      <c r="J366" s="221" t="s">
        <v>1959</v>
      </c>
      <c r="K366" s="222">
        <v>0</v>
      </c>
    </row>
    <row r="367" spans="1:11">
      <c r="A367" s="221">
        <v>5.0999999999999996</v>
      </c>
      <c r="B367" s="221" t="s">
        <v>2483</v>
      </c>
      <c r="C367" s="222" t="s">
        <v>2454</v>
      </c>
      <c r="D367" s="221" t="s">
        <v>2034</v>
      </c>
      <c r="E367" s="223" t="s">
        <v>1958</v>
      </c>
      <c r="F367" s="223">
        <v>27</v>
      </c>
      <c r="G367" s="224">
        <v>9.5</v>
      </c>
      <c r="H367" s="223">
        <v>246</v>
      </c>
      <c r="I367" s="223">
        <v>154</v>
      </c>
      <c r="J367" s="221" t="s">
        <v>1959</v>
      </c>
      <c r="K367" s="222">
        <v>0</v>
      </c>
    </row>
    <row r="368" spans="1:11">
      <c r="A368" s="221">
        <v>5.0999999999999996</v>
      </c>
      <c r="B368" s="221" t="s">
        <v>2484</v>
      </c>
      <c r="C368" s="222" t="s">
        <v>2454</v>
      </c>
      <c r="D368" s="221" t="s">
        <v>2034</v>
      </c>
      <c r="E368" s="223" t="s">
        <v>1958</v>
      </c>
      <c r="F368" s="223">
        <v>97</v>
      </c>
      <c r="G368" s="224">
        <v>9.5</v>
      </c>
      <c r="H368" s="223">
        <v>893</v>
      </c>
      <c r="I368" s="223">
        <v>167</v>
      </c>
      <c r="J368" s="221" t="s">
        <v>1959</v>
      </c>
      <c r="K368" s="222">
        <v>0</v>
      </c>
    </row>
    <row r="369" spans="1:12" ht="12.75" customHeight="1">
      <c r="A369" s="221">
        <v>5.0999999999999996</v>
      </c>
      <c r="B369" s="221" t="s">
        <v>2485</v>
      </c>
      <c r="C369" s="222" t="s">
        <v>2454</v>
      </c>
      <c r="D369" s="221" t="s">
        <v>2034</v>
      </c>
      <c r="E369" s="223" t="s">
        <v>1958</v>
      </c>
      <c r="F369" s="223">
        <v>95</v>
      </c>
      <c r="G369" s="224">
        <v>9.5</v>
      </c>
      <c r="H369" s="223">
        <v>862</v>
      </c>
      <c r="I369" s="223">
        <v>167</v>
      </c>
      <c r="J369" s="221" t="s">
        <v>1959</v>
      </c>
      <c r="K369" s="222">
        <v>0</v>
      </c>
    </row>
    <row r="370" spans="1:12">
      <c r="A370" s="221">
        <v>5.0999999999999996</v>
      </c>
      <c r="B370" s="221" t="s">
        <v>2486</v>
      </c>
      <c r="C370" s="222" t="s">
        <v>2454</v>
      </c>
      <c r="D370" s="221" t="s">
        <v>2034</v>
      </c>
      <c r="E370" s="223" t="s">
        <v>1958</v>
      </c>
      <c r="F370" s="223">
        <v>62</v>
      </c>
      <c r="G370" s="224">
        <v>9.5</v>
      </c>
      <c r="H370" s="223">
        <v>559</v>
      </c>
      <c r="I370" s="223">
        <v>170</v>
      </c>
      <c r="J370" s="221" t="s">
        <v>1969</v>
      </c>
      <c r="K370" s="222">
        <v>0</v>
      </c>
    </row>
    <row r="371" spans="1:12">
      <c r="A371" s="221">
        <v>5.0999999999999996</v>
      </c>
      <c r="B371" s="221" t="s">
        <v>2487</v>
      </c>
      <c r="C371" s="222" t="s">
        <v>2454</v>
      </c>
      <c r="D371" s="221" t="s">
        <v>1974</v>
      </c>
      <c r="E371" s="223" t="s">
        <v>1958</v>
      </c>
      <c r="F371" s="223">
        <v>142</v>
      </c>
      <c r="G371" s="224">
        <v>10.25</v>
      </c>
      <c r="H371" s="223">
        <v>1804</v>
      </c>
      <c r="I371" s="223">
        <v>15</v>
      </c>
      <c r="J371" s="221" t="s">
        <v>1962</v>
      </c>
      <c r="K371" s="222">
        <v>0</v>
      </c>
    </row>
    <row r="372" spans="1:12">
      <c r="A372" s="221">
        <v>5.0999999999999996</v>
      </c>
      <c r="B372" s="221" t="s">
        <v>2488</v>
      </c>
      <c r="C372" s="222" t="s">
        <v>2454</v>
      </c>
      <c r="D372" s="221" t="s">
        <v>1974</v>
      </c>
      <c r="E372" s="223" t="s">
        <v>1958</v>
      </c>
      <c r="F372" s="223">
        <v>15</v>
      </c>
      <c r="G372" s="224">
        <v>9.17</v>
      </c>
      <c r="H372" s="223">
        <v>217</v>
      </c>
      <c r="I372" s="223">
        <v>48</v>
      </c>
      <c r="J372" s="221" t="s">
        <v>1969</v>
      </c>
      <c r="K372" s="222">
        <v>0</v>
      </c>
    </row>
    <row r="373" spans="1:12">
      <c r="A373" s="221">
        <v>5.0999999999999996</v>
      </c>
      <c r="B373" s="221" t="s">
        <v>2489</v>
      </c>
      <c r="C373" s="222" t="s">
        <v>2454</v>
      </c>
      <c r="D373" s="221" t="s">
        <v>1974</v>
      </c>
      <c r="E373" s="223" t="s">
        <v>1958</v>
      </c>
      <c r="F373" s="223">
        <v>15</v>
      </c>
      <c r="G373" s="224">
        <v>9.17</v>
      </c>
      <c r="H373" s="223">
        <v>228</v>
      </c>
      <c r="I373" s="223">
        <v>48</v>
      </c>
      <c r="J373" s="221" t="s">
        <v>1959</v>
      </c>
      <c r="K373" s="222">
        <v>0</v>
      </c>
    </row>
    <row r="374" spans="1:12" ht="12.75" customHeight="1">
      <c r="A374" s="221">
        <v>5.0999999999999996</v>
      </c>
      <c r="B374" s="221" t="s">
        <v>2490</v>
      </c>
      <c r="C374" s="222" t="s">
        <v>2454</v>
      </c>
      <c r="D374" s="221" t="s">
        <v>1974</v>
      </c>
      <c r="E374" s="223" t="s">
        <v>1958</v>
      </c>
      <c r="F374" s="223">
        <v>18</v>
      </c>
      <c r="G374" s="224">
        <v>9.17</v>
      </c>
      <c r="H374" s="223">
        <v>251</v>
      </c>
      <c r="I374" s="223">
        <v>50</v>
      </c>
      <c r="J374" s="221" t="s">
        <v>1969</v>
      </c>
      <c r="K374" s="222">
        <v>0</v>
      </c>
    </row>
    <row r="375" spans="1:12">
      <c r="A375" s="221">
        <v>5.0999999999999996</v>
      </c>
      <c r="B375" s="221" t="s">
        <v>2491</v>
      </c>
      <c r="C375" s="222" t="s">
        <v>2454</v>
      </c>
      <c r="D375" s="221" t="s">
        <v>1974</v>
      </c>
      <c r="E375" s="223" t="s">
        <v>1958</v>
      </c>
      <c r="F375" s="223">
        <v>233</v>
      </c>
      <c r="G375" s="224">
        <v>9.17</v>
      </c>
      <c r="H375" s="223">
        <v>2178</v>
      </c>
      <c r="I375" s="223">
        <v>135</v>
      </c>
      <c r="J375" s="221" t="s">
        <v>1969</v>
      </c>
      <c r="K375" s="222">
        <v>0</v>
      </c>
    </row>
    <row r="376" spans="1:12">
      <c r="A376" s="426" t="s">
        <v>2492</v>
      </c>
      <c r="B376" s="427"/>
      <c r="C376" s="428"/>
      <c r="D376" s="215"/>
      <c r="E376" s="225"/>
      <c r="F376" s="225">
        <v>1883</v>
      </c>
      <c r="G376" s="226"/>
      <c r="H376" s="225">
        <v>18593</v>
      </c>
      <c r="I376" s="223"/>
      <c r="J376" s="221"/>
      <c r="K376" s="222"/>
    </row>
    <row r="377" spans="1:12">
      <c r="A377" s="426" t="s">
        <v>368</v>
      </c>
      <c r="B377" s="427"/>
      <c r="C377" s="428"/>
      <c r="D377" s="218"/>
      <c r="E377" s="225"/>
      <c r="F377" s="225">
        <v>53025</v>
      </c>
      <c r="G377" s="225"/>
      <c r="H377" s="225">
        <v>649324</v>
      </c>
      <c r="I377" s="225"/>
      <c r="J377" s="218"/>
      <c r="K377" s="217"/>
      <c r="L377" s="213"/>
    </row>
  </sheetData>
  <mergeCells count="6">
    <mergeCell ref="A377:C377"/>
    <mergeCell ref="A51:C51"/>
    <mergeCell ref="A155:C155"/>
    <mergeCell ref="A311:C311"/>
    <mergeCell ref="A338:C338"/>
    <mergeCell ref="A376:C376"/>
  </mergeCells>
  <printOptions horizontalCentered="1"/>
  <pageMargins left="0.7" right="0.7" top="0.75" bottom="0.75" header="0.3" footer="0.3"/>
  <pageSetup scale="69" orientation="landscape" horizontalDpi="1200" verticalDpi="1200" r:id="rId1"/>
  <headerFooter>
    <oddFooter>&amp;C&amp;"Times New Roman,Regular"See Restrictions on Title Page&amp;R&amp;"Times New Roman,Regular"A-&amp;P</oddFooter>
  </headerFooter>
  <rowBreaks count="7" manualBreakCount="7">
    <brk id="51" max="10" man="1"/>
    <brk id="110" max="10" man="1"/>
    <brk id="155" max="10" man="1"/>
    <brk id="214" max="10" man="1"/>
    <brk id="272" max="10" man="1"/>
    <brk id="311" max="10" man="1"/>
    <brk id="338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BZ365"/>
  <sheetViews>
    <sheetView view="pageBreakPreview" zoomScaleNormal="100" zoomScaleSheetLayoutView="100" workbookViewId="0">
      <selection activeCell="B1" sqref="B1"/>
    </sheetView>
  </sheetViews>
  <sheetFormatPr defaultColWidth="9.1796875" defaultRowHeight="12" customHeight="1"/>
  <cols>
    <col min="1" max="1" width="14.81640625" style="294" bestFit="1" customWidth="1"/>
    <col min="2" max="2" width="19.1796875" style="295" customWidth="1"/>
    <col min="3" max="3" width="57.26953125" style="295" customWidth="1"/>
    <col min="4" max="4" width="19.81640625" style="295" customWidth="1"/>
    <col min="5" max="5" width="13" style="296" customWidth="1"/>
    <col min="6" max="6" width="13.54296875" style="296" customWidth="1"/>
    <col min="7" max="7" width="27.1796875" style="297" customWidth="1"/>
    <col min="8" max="8" width="9.1796875" style="238"/>
    <col min="9" max="9" width="9.1796875" style="255"/>
    <col min="10" max="10" width="9.54296875" style="238" bestFit="1" customWidth="1"/>
    <col min="11" max="14" width="9.1796875" style="238"/>
    <col min="15" max="78" width="9.1796875" style="240"/>
    <col min="79" max="256" width="9.1796875" style="295"/>
    <col min="257" max="257" width="14.81640625" style="295" bestFit="1" customWidth="1"/>
    <col min="258" max="258" width="19.1796875" style="295" customWidth="1"/>
    <col min="259" max="259" width="57.26953125" style="295" customWidth="1"/>
    <col min="260" max="260" width="19.81640625" style="295" customWidth="1"/>
    <col min="261" max="261" width="13" style="295" customWidth="1"/>
    <col min="262" max="262" width="13.54296875" style="295" customWidth="1"/>
    <col min="263" max="263" width="27.1796875" style="295" customWidth="1"/>
    <col min="264" max="265" width="9.1796875" style="295"/>
    <col min="266" max="266" width="9.54296875" style="295" bestFit="1" customWidth="1"/>
    <col min="267" max="512" width="9.1796875" style="295"/>
    <col min="513" max="513" width="14.81640625" style="295" bestFit="1" customWidth="1"/>
    <col min="514" max="514" width="19.1796875" style="295" customWidth="1"/>
    <col min="515" max="515" width="57.26953125" style="295" customWidth="1"/>
    <col min="516" max="516" width="19.81640625" style="295" customWidth="1"/>
    <col min="517" max="517" width="13" style="295" customWidth="1"/>
    <col min="518" max="518" width="13.54296875" style="295" customWidth="1"/>
    <col min="519" max="519" width="27.1796875" style="295" customWidth="1"/>
    <col min="520" max="521" width="9.1796875" style="295"/>
    <col min="522" max="522" width="9.54296875" style="295" bestFit="1" customWidth="1"/>
    <col min="523" max="768" width="9.1796875" style="295"/>
    <col min="769" max="769" width="14.81640625" style="295" bestFit="1" customWidth="1"/>
    <col min="770" max="770" width="19.1796875" style="295" customWidth="1"/>
    <col min="771" max="771" width="57.26953125" style="295" customWidth="1"/>
    <col min="772" max="772" width="19.81640625" style="295" customWidth="1"/>
    <col min="773" max="773" width="13" style="295" customWidth="1"/>
    <col min="774" max="774" width="13.54296875" style="295" customWidth="1"/>
    <col min="775" max="775" width="27.1796875" style="295" customWidth="1"/>
    <col min="776" max="777" width="9.1796875" style="295"/>
    <col min="778" max="778" width="9.54296875" style="295" bestFit="1" customWidth="1"/>
    <col min="779" max="1024" width="9.1796875" style="295"/>
    <col min="1025" max="1025" width="14.81640625" style="295" bestFit="1" customWidth="1"/>
    <col min="1026" max="1026" width="19.1796875" style="295" customWidth="1"/>
    <col min="1027" max="1027" width="57.26953125" style="295" customWidth="1"/>
    <col min="1028" max="1028" width="19.81640625" style="295" customWidth="1"/>
    <col min="1029" max="1029" width="13" style="295" customWidth="1"/>
    <col min="1030" max="1030" width="13.54296875" style="295" customWidth="1"/>
    <col min="1031" max="1031" width="27.1796875" style="295" customWidth="1"/>
    <col min="1032" max="1033" width="9.1796875" style="295"/>
    <col min="1034" max="1034" width="9.54296875" style="295" bestFit="1" customWidth="1"/>
    <col min="1035" max="1280" width="9.1796875" style="295"/>
    <col min="1281" max="1281" width="14.81640625" style="295" bestFit="1" customWidth="1"/>
    <col min="1282" max="1282" width="19.1796875" style="295" customWidth="1"/>
    <col min="1283" max="1283" width="57.26953125" style="295" customWidth="1"/>
    <col min="1284" max="1284" width="19.81640625" style="295" customWidth="1"/>
    <col min="1285" max="1285" width="13" style="295" customWidth="1"/>
    <col min="1286" max="1286" width="13.54296875" style="295" customWidth="1"/>
    <col min="1287" max="1287" width="27.1796875" style="295" customWidth="1"/>
    <col min="1288" max="1289" width="9.1796875" style="295"/>
    <col min="1290" max="1290" width="9.54296875" style="295" bestFit="1" customWidth="1"/>
    <col min="1291" max="1536" width="9.1796875" style="295"/>
    <col min="1537" max="1537" width="14.81640625" style="295" bestFit="1" customWidth="1"/>
    <col min="1538" max="1538" width="19.1796875" style="295" customWidth="1"/>
    <col min="1539" max="1539" width="57.26953125" style="295" customWidth="1"/>
    <col min="1540" max="1540" width="19.81640625" style="295" customWidth="1"/>
    <col min="1541" max="1541" width="13" style="295" customWidth="1"/>
    <col min="1542" max="1542" width="13.54296875" style="295" customWidth="1"/>
    <col min="1543" max="1543" width="27.1796875" style="295" customWidth="1"/>
    <col min="1544" max="1545" width="9.1796875" style="295"/>
    <col min="1546" max="1546" width="9.54296875" style="295" bestFit="1" customWidth="1"/>
    <col min="1547" max="1792" width="9.1796875" style="295"/>
    <col min="1793" max="1793" width="14.81640625" style="295" bestFit="1" customWidth="1"/>
    <col min="1794" max="1794" width="19.1796875" style="295" customWidth="1"/>
    <col min="1795" max="1795" width="57.26953125" style="295" customWidth="1"/>
    <col min="1796" max="1796" width="19.81640625" style="295" customWidth="1"/>
    <col min="1797" max="1797" width="13" style="295" customWidth="1"/>
    <col min="1798" max="1798" width="13.54296875" style="295" customWidth="1"/>
    <col min="1799" max="1799" width="27.1796875" style="295" customWidth="1"/>
    <col min="1800" max="1801" width="9.1796875" style="295"/>
    <col min="1802" max="1802" width="9.54296875" style="295" bestFit="1" customWidth="1"/>
    <col min="1803" max="2048" width="9.1796875" style="295"/>
    <col min="2049" max="2049" width="14.81640625" style="295" bestFit="1" customWidth="1"/>
    <col min="2050" max="2050" width="19.1796875" style="295" customWidth="1"/>
    <col min="2051" max="2051" width="57.26953125" style="295" customWidth="1"/>
    <col min="2052" max="2052" width="19.81640625" style="295" customWidth="1"/>
    <col min="2053" max="2053" width="13" style="295" customWidth="1"/>
    <col min="2054" max="2054" width="13.54296875" style="295" customWidth="1"/>
    <col min="2055" max="2055" width="27.1796875" style="295" customWidth="1"/>
    <col min="2056" max="2057" width="9.1796875" style="295"/>
    <col min="2058" max="2058" width="9.54296875" style="295" bestFit="1" customWidth="1"/>
    <col min="2059" max="2304" width="9.1796875" style="295"/>
    <col min="2305" max="2305" width="14.81640625" style="295" bestFit="1" customWidth="1"/>
    <col min="2306" max="2306" width="19.1796875" style="295" customWidth="1"/>
    <col min="2307" max="2307" width="57.26953125" style="295" customWidth="1"/>
    <col min="2308" max="2308" width="19.81640625" style="295" customWidth="1"/>
    <col min="2309" max="2309" width="13" style="295" customWidth="1"/>
    <col min="2310" max="2310" width="13.54296875" style="295" customWidth="1"/>
    <col min="2311" max="2311" width="27.1796875" style="295" customWidth="1"/>
    <col min="2312" max="2313" width="9.1796875" style="295"/>
    <col min="2314" max="2314" width="9.54296875" style="295" bestFit="1" customWidth="1"/>
    <col min="2315" max="2560" width="9.1796875" style="295"/>
    <col min="2561" max="2561" width="14.81640625" style="295" bestFit="1" customWidth="1"/>
    <col min="2562" max="2562" width="19.1796875" style="295" customWidth="1"/>
    <col min="2563" max="2563" width="57.26953125" style="295" customWidth="1"/>
    <col min="2564" max="2564" width="19.81640625" style="295" customWidth="1"/>
    <col min="2565" max="2565" width="13" style="295" customWidth="1"/>
    <col min="2566" max="2566" width="13.54296875" style="295" customWidth="1"/>
    <col min="2567" max="2567" width="27.1796875" style="295" customWidth="1"/>
    <col min="2568" max="2569" width="9.1796875" style="295"/>
    <col min="2570" max="2570" width="9.54296875" style="295" bestFit="1" customWidth="1"/>
    <col min="2571" max="2816" width="9.1796875" style="295"/>
    <col min="2817" max="2817" width="14.81640625" style="295" bestFit="1" customWidth="1"/>
    <col min="2818" max="2818" width="19.1796875" style="295" customWidth="1"/>
    <col min="2819" max="2819" width="57.26953125" style="295" customWidth="1"/>
    <col min="2820" max="2820" width="19.81640625" style="295" customWidth="1"/>
    <col min="2821" max="2821" width="13" style="295" customWidth="1"/>
    <col min="2822" max="2822" width="13.54296875" style="295" customWidth="1"/>
    <col min="2823" max="2823" width="27.1796875" style="295" customWidth="1"/>
    <col min="2824" max="2825" width="9.1796875" style="295"/>
    <col min="2826" max="2826" width="9.54296875" style="295" bestFit="1" customWidth="1"/>
    <col min="2827" max="3072" width="9.1796875" style="295"/>
    <col min="3073" max="3073" width="14.81640625" style="295" bestFit="1" customWidth="1"/>
    <col min="3074" max="3074" width="19.1796875" style="295" customWidth="1"/>
    <col min="3075" max="3075" width="57.26953125" style="295" customWidth="1"/>
    <col min="3076" max="3076" width="19.81640625" style="295" customWidth="1"/>
    <col min="3077" max="3077" width="13" style="295" customWidth="1"/>
    <col min="3078" max="3078" width="13.54296875" style="295" customWidth="1"/>
    <col min="3079" max="3079" width="27.1796875" style="295" customWidth="1"/>
    <col min="3080" max="3081" width="9.1796875" style="295"/>
    <col min="3082" max="3082" width="9.54296875" style="295" bestFit="1" customWidth="1"/>
    <col min="3083" max="3328" width="9.1796875" style="295"/>
    <col min="3329" max="3329" width="14.81640625" style="295" bestFit="1" customWidth="1"/>
    <col min="3330" max="3330" width="19.1796875" style="295" customWidth="1"/>
    <col min="3331" max="3331" width="57.26953125" style="295" customWidth="1"/>
    <col min="3332" max="3332" width="19.81640625" style="295" customWidth="1"/>
    <col min="3333" max="3333" width="13" style="295" customWidth="1"/>
    <col min="3334" max="3334" width="13.54296875" style="295" customWidth="1"/>
    <col min="3335" max="3335" width="27.1796875" style="295" customWidth="1"/>
    <col min="3336" max="3337" width="9.1796875" style="295"/>
    <col min="3338" max="3338" width="9.54296875" style="295" bestFit="1" customWidth="1"/>
    <col min="3339" max="3584" width="9.1796875" style="295"/>
    <col min="3585" max="3585" width="14.81640625" style="295" bestFit="1" customWidth="1"/>
    <col min="3586" max="3586" width="19.1796875" style="295" customWidth="1"/>
    <col min="3587" max="3587" width="57.26953125" style="295" customWidth="1"/>
    <col min="3588" max="3588" width="19.81640625" style="295" customWidth="1"/>
    <col min="3589" max="3589" width="13" style="295" customWidth="1"/>
    <col min="3590" max="3590" width="13.54296875" style="295" customWidth="1"/>
    <col min="3591" max="3591" width="27.1796875" style="295" customWidth="1"/>
    <col min="3592" max="3593" width="9.1796875" style="295"/>
    <col min="3594" max="3594" width="9.54296875" style="295" bestFit="1" customWidth="1"/>
    <col min="3595" max="3840" width="9.1796875" style="295"/>
    <col min="3841" max="3841" width="14.81640625" style="295" bestFit="1" customWidth="1"/>
    <col min="3842" max="3842" width="19.1796875" style="295" customWidth="1"/>
    <col min="3843" max="3843" width="57.26953125" style="295" customWidth="1"/>
    <col min="3844" max="3844" width="19.81640625" style="295" customWidth="1"/>
    <col min="3845" max="3845" width="13" style="295" customWidth="1"/>
    <col min="3846" max="3846" width="13.54296875" style="295" customWidth="1"/>
    <col min="3847" max="3847" width="27.1796875" style="295" customWidth="1"/>
    <col min="3848" max="3849" width="9.1796875" style="295"/>
    <col min="3850" max="3850" width="9.54296875" style="295" bestFit="1" customWidth="1"/>
    <col min="3851" max="4096" width="9.1796875" style="295"/>
    <col min="4097" max="4097" width="14.81640625" style="295" bestFit="1" customWidth="1"/>
    <col min="4098" max="4098" width="19.1796875" style="295" customWidth="1"/>
    <col min="4099" max="4099" width="57.26953125" style="295" customWidth="1"/>
    <col min="4100" max="4100" width="19.81640625" style="295" customWidth="1"/>
    <col min="4101" max="4101" width="13" style="295" customWidth="1"/>
    <col min="4102" max="4102" width="13.54296875" style="295" customWidth="1"/>
    <col min="4103" max="4103" width="27.1796875" style="295" customWidth="1"/>
    <col min="4104" max="4105" width="9.1796875" style="295"/>
    <col min="4106" max="4106" width="9.54296875" style="295" bestFit="1" customWidth="1"/>
    <col min="4107" max="4352" width="9.1796875" style="295"/>
    <col min="4353" max="4353" width="14.81640625" style="295" bestFit="1" customWidth="1"/>
    <col min="4354" max="4354" width="19.1796875" style="295" customWidth="1"/>
    <col min="4355" max="4355" width="57.26953125" style="295" customWidth="1"/>
    <col min="4356" max="4356" width="19.81640625" style="295" customWidth="1"/>
    <col min="4357" max="4357" width="13" style="295" customWidth="1"/>
    <col min="4358" max="4358" width="13.54296875" style="295" customWidth="1"/>
    <col min="4359" max="4359" width="27.1796875" style="295" customWidth="1"/>
    <col min="4360" max="4361" width="9.1796875" style="295"/>
    <col min="4362" max="4362" width="9.54296875" style="295" bestFit="1" customWidth="1"/>
    <col min="4363" max="4608" width="9.1796875" style="295"/>
    <col min="4609" max="4609" width="14.81640625" style="295" bestFit="1" customWidth="1"/>
    <col min="4610" max="4610" width="19.1796875" style="295" customWidth="1"/>
    <col min="4611" max="4611" width="57.26953125" style="295" customWidth="1"/>
    <col min="4612" max="4612" width="19.81640625" style="295" customWidth="1"/>
    <col min="4613" max="4613" width="13" style="295" customWidth="1"/>
    <col min="4614" max="4614" width="13.54296875" style="295" customWidth="1"/>
    <col min="4615" max="4615" width="27.1796875" style="295" customWidth="1"/>
    <col min="4616" max="4617" width="9.1796875" style="295"/>
    <col min="4618" max="4618" width="9.54296875" style="295" bestFit="1" customWidth="1"/>
    <col min="4619" max="4864" width="9.1796875" style="295"/>
    <col min="4865" max="4865" width="14.81640625" style="295" bestFit="1" customWidth="1"/>
    <col min="4866" max="4866" width="19.1796875" style="295" customWidth="1"/>
    <col min="4867" max="4867" width="57.26953125" style="295" customWidth="1"/>
    <col min="4868" max="4868" width="19.81640625" style="295" customWidth="1"/>
    <col min="4869" max="4869" width="13" style="295" customWidth="1"/>
    <col min="4870" max="4870" width="13.54296875" style="295" customWidth="1"/>
    <col min="4871" max="4871" width="27.1796875" style="295" customWidth="1"/>
    <col min="4872" max="4873" width="9.1796875" style="295"/>
    <col min="4874" max="4874" width="9.54296875" style="295" bestFit="1" customWidth="1"/>
    <col min="4875" max="5120" width="9.1796875" style="295"/>
    <col min="5121" max="5121" width="14.81640625" style="295" bestFit="1" customWidth="1"/>
    <col min="5122" max="5122" width="19.1796875" style="295" customWidth="1"/>
    <col min="5123" max="5123" width="57.26953125" style="295" customWidth="1"/>
    <col min="5124" max="5124" width="19.81640625" style="295" customWidth="1"/>
    <col min="5125" max="5125" width="13" style="295" customWidth="1"/>
    <col min="5126" max="5126" width="13.54296875" style="295" customWidth="1"/>
    <col min="5127" max="5127" width="27.1796875" style="295" customWidth="1"/>
    <col min="5128" max="5129" width="9.1796875" style="295"/>
    <col min="5130" max="5130" width="9.54296875" style="295" bestFit="1" customWidth="1"/>
    <col min="5131" max="5376" width="9.1796875" style="295"/>
    <col min="5377" max="5377" width="14.81640625" style="295" bestFit="1" customWidth="1"/>
    <col min="5378" max="5378" width="19.1796875" style="295" customWidth="1"/>
    <col min="5379" max="5379" width="57.26953125" style="295" customWidth="1"/>
    <col min="5380" max="5380" width="19.81640625" style="295" customWidth="1"/>
    <col min="5381" max="5381" width="13" style="295" customWidth="1"/>
    <col min="5382" max="5382" width="13.54296875" style="295" customWidth="1"/>
    <col min="5383" max="5383" width="27.1796875" style="295" customWidth="1"/>
    <col min="5384" max="5385" width="9.1796875" style="295"/>
    <col min="5386" max="5386" width="9.54296875" style="295" bestFit="1" customWidth="1"/>
    <col min="5387" max="5632" width="9.1796875" style="295"/>
    <col min="5633" max="5633" width="14.81640625" style="295" bestFit="1" customWidth="1"/>
    <col min="5634" max="5634" width="19.1796875" style="295" customWidth="1"/>
    <col min="5635" max="5635" width="57.26953125" style="295" customWidth="1"/>
    <col min="5636" max="5636" width="19.81640625" style="295" customWidth="1"/>
    <col min="5637" max="5637" width="13" style="295" customWidth="1"/>
    <col min="5638" max="5638" width="13.54296875" style="295" customWidth="1"/>
    <col min="5639" max="5639" width="27.1796875" style="295" customWidth="1"/>
    <col min="5640" max="5641" width="9.1796875" style="295"/>
    <col min="5642" max="5642" width="9.54296875" style="295" bestFit="1" customWidth="1"/>
    <col min="5643" max="5888" width="9.1796875" style="295"/>
    <col min="5889" max="5889" width="14.81640625" style="295" bestFit="1" customWidth="1"/>
    <col min="5890" max="5890" width="19.1796875" style="295" customWidth="1"/>
    <col min="5891" max="5891" width="57.26953125" style="295" customWidth="1"/>
    <col min="5892" max="5892" width="19.81640625" style="295" customWidth="1"/>
    <col min="5893" max="5893" width="13" style="295" customWidth="1"/>
    <col min="5894" max="5894" width="13.54296875" style="295" customWidth="1"/>
    <col min="5895" max="5895" width="27.1796875" style="295" customWidth="1"/>
    <col min="5896" max="5897" width="9.1796875" style="295"/>
    <col min="5898" max="5898" width="9.54296875" style="295" bestFit="1" customWidth="1"/>
    <col min="5899" max="6144" width="9.1796875" style="295"/>
    <col min="6145" max="6145" width="14.81640625" style="295" bestFit="1" customWidth="1"/>
    <col min="6146" max="6146" width="19.1796875" style="295" customWidth="1"/>
    <col min="6147" max="6147" width="57.26953125" style="295" customWidth="1"/>
    <col min="6148" max="6148" width="19.81640625" style="295" customWidth="1"/>
    <col min="6149" max="6149" width="13" style="295" customWidth="1"/>
    <col min="6150" max="6150" width="13.54296875" style="295" customWidth="1"/>
    <col min="6151" max="6151" width="27.1796875" style="295" customWidth="1"/>
    <col min="6152" max="6153" width="9.1796875" style="295"/>
    <col min="6154" max="6154" width="9.54296875" style="295" bestFit="1" customWidth="1"/>
    <col min="6155" max="6400" width="9.1796875" style="295"/>
    <col min="6401" max="6401" width="14.81640625" style="295" bestFit="1" customWidth="1"/>
    <col min="6402" max="6402" width="19.1796875" style="295" customWidth="1"/>
    <col min="6403" max="6403" width="57.26953125" style="295" customWidth="1"/>
    <col min="6404" max="6404" width="19.81640625" style="295" customWidth="1"/>
    <col min="6405" max="6405" width="13" style="295" customWidth="1"/>
    <col min="6406" max="6406" width="13.54296875" style="295" customWidth="1"/>
    <col min="6407" max="6407" width="27.1796875" style="295" customWidth="1"/>
    <col min="6408" max="6409" width="9.1796875" style="295"/>
    <col min="6410" max="6410" width="9.54296875" style="295" bestFit="1" customWidth="1"/>
    <col min="6411" max="6656" width="9.1796875" style="295"/>
    <col min="6657" max="6657" width="14.81640625" style="295" bestFit="1" customWidth="1"/>
    <col min="6658" max="6658" width="19.1796875" style="295" customWidth="1"/>
    <col min="6659" max="6659" width="57.26953125" style="295" customWidth="1"/>
    <col min="6660" max="6660" width="19.81640625" style="295" customWidth="1"/>
    <col min="6661" max="6661" width="13" style="295" customWidth="1"/>
    <col min="6662" max="6662" width="13.54296875" style="295" customWidth="1"/>
    <col min="6663" max="6663" width="27.1796875" style="295" customWidth="1"/>
    <col min="6664" max="6665" width="9.1796875" style="295"/>
    <col min="6666" max="6666" width="9.54296875" style="295" bestFit="1" customWidth="1"/>
    <col min="6667" max="6912" width="9.1796875" style="295"/>
    <col min="6913" max="6913" width="14.81640625" style="295" bestFit="1" customWidth="1"/>
    <col min="6914" max="6914" width="19.1796875" style="295" customWidth="1"/>
    <col min="6915" max="6915" width="57.26953125" style="295" customWidth="1"/>
    <col min="6916" max="6916" width="19.81640625" style="295" customWidth="1"/>
    <col min="6917" max="6917" width="13" style="295" customWidth="1"/>
    <col min="6918" max="6918" width="13.54296875" style="295" customWidth="1"/>
    <col min="6919" max="6919" width="27.1796875" style="295" customWidth="1"/>
    <col min="6920" max="6921" width="9.1796875" style="295"/>
    <col min="6922" max="6922" width="9.54296875" style="295" bestFit="1" customWidth="1"/>
    <col min="6923" max="7168" width="9.1796875" style="295"/>
    <col min="7169" max="7169" width="14.81640625" style="295" bestFit="1" customWidth="1"/>
    <col min="7170" max="7170" width="19.1796875" style="295" customWidth="1"/>
    <col min="7171" max="7171" width="57.26953125" style="295" customWidth="1"/>
    <col min="7172" max="7172" width="19.81640625" style="295" customWidth="1"/>
    <col min="7173" max="7173" width="13" style="295" customWidth="1"/>
    <col min="7174" max="7174" width="13.54296875" style="295" customWidth="1"/>
    <col min="7175" max="7175" width="27.1796875" style="295" customWidth="1"/>
    <col min="7176" max="7177" width="9.1796875" style="295"/>
    <col min="7178" max="7178" width="9.54296875" style="295" bestFit="1" customWidth="1"/>
    <col min="7179" max="7424" width="9.1796875" style="295"/>
    <col min="7425" max="7425" width="14.81640625" style="295" bestFit="1" customWidth="1"/>
    <col min="7426" max="7426" width="19.1796875" style="295" customWidth="1"/>
    <col min="7427" max="7427" width="57.26953125" style="295" customWidth="1"/>
    <col min="7428" max="7428" width="19.81640625" style="295" customWidth="1"/>
    <col min="7429" max="7429" width="13" style="295" customWidth="1"/>
    <col min="7430" max="7430" width="13.54296875" style="295" customWidth="1"/>
    <col min="7431" max="7431" width="27.1796875" style="295" customWidth="1"/>
    <col min="7432" max="7433" width="9.1796875" style="295"/>
    <col min="7434" max="7434" width="9.54296875" style="295" bestFit="1" customWidth="1"/>
    <col min="7435" max="7680" width="9.1796875" style="295"/>
    <col min="7681" max="7681" width="14.81640625" style="295" bestFit="1" customWidth="1"/>
    <col min="7682" max="7682" width="19.1796875" style="295" customWidth="1"/>
    <col min="7683" max="7683" width="57.26953125" style="295" customWidth="1"/>
    <col min="7684" max="7684" width="19.81640625" style="295" customWidth="1"/>
    <col min="7685" max="7685" width="13" style="295" customWidth="1"/>
    <col min="7686" max="7686" width="13.54296875" style="295" customWidth="1"/>
    <col min="7687" max="7687" width="27.1796875" style="295" customWidth="1"/>
    <col min="7688" max="7689" width="9.1796875" style="295"/>
    <col min="7690" max="7690" width="9.54296875" style="295" bestFit="1" customWidth="1"/>
    <col min="7691" max="7936" width="9.1796875" style="295"/>
    <col min="7937" max="7937" width="14.81640625" style="295" bestFit="1" customWidth="1"/>
    <col min="7938" max="7938" width="19.1796875" style="295" customWidth="1"/>
    <col min="7939" max="7939" width="57.26953125" style="295" customWidth="1"/>
    <col min="7940" max="7940" width="19.81640625" style="295" customWidth="1"/>
    <col min="7941" max="7941" width="13" style="295" customWidth="1"/>
    <col min="7942" max="7942" width="13.54296875" style="295" customWidth="1"/>
    <col min="7943" max="7943" width="27.1796875" style="295" customWidth="1"/>
    <col min="7944" max="7945" width="9.1796875" style="295"/>
    <col min="7946" max="7946" width="9.54296875" style="295" bestFit="1" customWidth="1"/>
    <col min="7947" max="8192" width="9.1796875" style="295"/>
    <col min="8193" max="8193" width="14.81640625" style="295" bestFit="1" customWidth="1"/>
    <col min="8194" max="8194" width="19.1796875" style="295" customWidth="1"/>
    <col min="8195" max="8195" width="57.26953125" style="295" customWidth="1"/>
    <col min="8196" max="8196" width="19.81640625" style="295" customWidth="1"/>
    <col min="8197" max="8197" width="13" style="295" customWidth="1"/>
    <col min="8198" max="8198" width="13.54296875" style="295" customWidth="1"/>
    <col min="8199" max="8199" width="27.1796875" style="295" customWidth="1"/>
    <col min="8200" max="8201" width="9.1796875" style="295"/>
    <col min="8202" max="8202" width="9.54296875" style="295" bestFit="1" customWidth="1"/>
    <col min="8203" max="8448" width="9.1796875" style="295"/>
    <col min="8449" max="8449" width="14.81640625" style="295" bestFit="1" customWidth="1"/>
    <col min="8450" max="8450" width="19.1796875" style="295" customWidth="1"/>
    <col min="8451" max="8451" width="57.26953125" style="295" customWidth="1"/>
    <col min="8452" max="8452" width="19.81640625" style="295" customWidth="1"/>
    <col min="8453" max="8453" width="13" style="295" customWidth="1"/>
    <col min="8454" max="8454" width="13.54296875" style="295" customWidth="1"/>
    <col min="8455" max="8455" width="27.1796875" style="295" customWidth="1"/>
    <col min="8456" max="8457" width="9.1796875" style="295"/>
    <col min="8458" max="8458" width="9.54296875" style="295" bestFit="1" customWidth="1"/>
    <col min="8459" max="8704" width="9.1796875" style="295"/>
    <col min="8705" max="8705" width="14.81640625" style="295" bestFit="1" customWidth="1"/>
    <col min="8706" max="8706" width="19.1796875" style="295" customWidth="1"/>
    <col min="8707" max="8707" width="57.26953125" style="295" customWidth="1"/>
    <col min="8708" max="8708" width="19.81640625" style="295" customWidth="1"/>
    <col min="8709" max="8709" width="13" style="295" customWidth="1"/>
    <col min="8710" max="8710" width="13.54296875" style="295" customWidth="1"/>
    <col min="8711" max="8711" width="27.1796875" style="295" customWidth="1"/>
    <col min="8712" max="8713" width="9.1796875" style="295"/>
    <col min="8714" max="8714" width="9.54296875" style="295" bestFit="1" customWidth="1"/>
    <col min="8715" max="8960" width="9.1796875" style="295"/>
    <col min="8961" max="8961" width="14.81640625" style="295" bestFit="1" customWidth="1"/>
    <col min="8962" max="8962" width="19.1796875" style="295" customWidth="1"/>
    <col min="8963" max="8963" width="57.26953125" style="295" customWidth="1"/>
    <col min="8964" max="8964" width="19.81640625" style="295" customWidth="1"/>
    <col min="8965" max="8965" width="13" style="295" customWidth="1"/>
    <col min="8966" max="8966" width="13.54296875" style="295" customWidth="1"/>
    <col min="8967" max="8967" width="27.1796875" style="295" customWidth="1"/>
    <col min="8968" max="8969" width="9.1796875" style="295"/>
    <col min="8970" max="8970" width="9.54296875" style="295" bestFit="1" customWidth="1"/>
    <col min="8971" max="9216" width="9.1796875" style="295"/>
    <col min="9217" max="9217" width="14.81640625" style="295" bestFit="1" customWidth="1"/>
    <col min="9218" max="9218" width="19.1796875" style="295" customWidth="1"/>
    <col min="9219" max="9219" width="57.26953125" style="295" customWidth="1"/>
    <col min="9220" max="9220" width="19.81640625" style="295" customWidth="1"/>
    <col min="9221" max="9221" width="13" style="295" customWidth="1"/>
    <col min="9222" max="9222" width="13.54296875" style="295" customWidth="1"/>
    <col min="9223" max="9223" width="27.1796875" style="295" customWidth="1"/>
    <col min="9224" max="9225" width="9.1796875" style="295"/>
    <col min="9226" max="9226" width="9.54296875" style="295" bestFit="1" customWidth="1"/>
    <col min="9227" max="9472" width="9.1796875" style="295"/>
    <col min="9473" max="9473" width="14.81640625" style="295" bestFit="1" customWidth="1"/>
    <col min="9474" max="9474" width="19.1796875" style="295" customWidth="1"/>
    <col min="9475" max="9475" width="57.26953125" style="295" customWidth="1"/>
    <col min="9476" max="9476" width="19.81640625" style="295" customWidth="1"/>
    <col min="9477" max="9477" width="13" style="295" customWidth="1"/>
    <col min="9478" max="9478" width="13.54296875" style="295" customWidth="1"/>
    <col min="9479" max="9479" width="27.1796875" style="295" customWidth="1"/>
    <col min="9480" max="9481" width="9.1796875" style="295"/>
    <col min="9482" max="9482" width="9.54296875" style="295" bestFit="1" customWidth="1"/>
    <col min="9483" max="9728" width="9.1796875" style="295"/>
    <col min="9729" max="9729" width="14.81640625" style="295" bestFit="1" customWidth="1"/>
    <col min="9730" max="9730" width="19.1796875" style="295" customWidth="1"/>
    <col min="9731" max="9731" width="57.26953125" style="295" customWidth="1"/>
    <col min="9732" max="9732" width="19.81640625" style="295" customWidth="1"/>
    <col min="9733" max="9733" width="13" style="295" customWidth="1"/>
    <col min="9734" max="9734" width="13.54296875" style="295" customWidth="1"/>
    <col min="9735" max="9735" width="27.1796875" style="295" customWidth="1"/>
    <col min="9736" max="9737" width="9.1796875" style="295"/>
    <col min="9738" max="9738" width="9.54296875" style="295" bestFit="1" customWidth="1"/>
    <col min="9739" max="9984" width="9.1796875" style="295"/>
    <col min="9985" max="9985" width="14.81640625" style="295" bestFit="1" customWidth="1"/>
    <col min="9986" max="9986" width="19.1796875" style="295" customWidth="1"/>
    <col min="9987" max="9987" width="57.26953125" style="295" customWidth="1"/>
    <col min="9988" max="9988" width="19.81640625" style="295" customWidth="1"/>
    <col min="9989" max="9989" width="13" style="295" customWidth="1"/>
    <col min="9990" max="9990" width="13.54296875" style="295" customWidth="1"/>
    <col min="9991" max="9991" width="27.1796875" style="295" customWidth="1"/>
    <col min="9992" max="9993" width="9.1796875" style="295"/>
    <col min="9994" max="9994" width="9.54296875" style="295" bestFit="1" customWidth="1"/>
    <col min="9995" max="10240" width="9.1796875" style="295"/>
    <col min="10241" max="10241" width="14.81640625" style="295" bestFit="1" customWidth="1"/>
    <col min="10242" max="10242" width="19.1796875" style="295" customWidth="1"/>
    <col min="10243" max="10243" width="57.26953125" style="295" customWidth="1"/>
    <col min="10244" max="10244" width="19.81640625" style="295" customWidth="1"/>
    <col min="10245" max="10245" width="13" style="295" customWidth="1"/>
    <col min="10246" max="10246" width="13.54296875" style="295" customWidth="1"/>
    <col min="10247" max="10247" width="27.1796875" style="295" customWidth="1"/>
    <col min="10248" max="10249" width="9.1796875" style="295"/>
    <col min="10250" max="10250" width="9.54296875" style="295" bestFit="1" customWidth="1"/>
    <col min="10251" max="10496" width="9.1796875" style="295"/>
    <col min="10497" max="10497" width="14.81640625" style="295" bestFit="1" customWidth="1"/>
    <col min="10498" max="10498" width="19.1796875" style="295" customWidth="1"/>
    <col min="10499" max="10499" width="57.26953125" style="295" customWidth="1"/>
    <col min="10500" max="10500" width="19.81640625" style="295" customWidth="1"/>
    <col min="10501" max="10501" width="13" style="295" customWidth="1"/>
    <col min="10502" max="10502" width="13.54296875" style="295" customWidth="1"/>
    <col min="10503" max="10503" width="27.1796875" style="295" customWidth="1"/>
    <col min="10504" max="10505" width="9.1796875" style="295"/>
    <col min="10506" max="10506" width="9.54296875" style="295" bestFit="1" customWidth="1"/>
    <col min="10507" max="10752" width="9.1796875" style="295"/>
    <col min="10753" max="10753" width="14.81640625" style="295" bestFit="1" customWidth="1"/>
    <col min="10754" max="10754" width="19.1796875" style="295" customWidth="1"/>
    <col min="10755" max="10755" width="57.26953125" style="295" customWidth="1"/>
    <col min="10756" max="10756" width="19.81640625" style="295" customWidth="1"/>
    <col min="10757" max="10757" width="13" style="295" customWidth="1"/>
    <col min="10758" max="10758" width="13.54296875" style="295" customWidth="1"/>
    <col min="10759" max="10759" width="27.1796875" style="295" customWidth="1"/>
    <col min="10760" max="10761" width="9.1796875" style="295"/>
    <col min="10762" max="10762" width="9.54296875" style="295" bestFit="1" customWidth="1"/>
    <col min="10763" max="11008" width="9.1796875" style="295"/>
    <col min="11009" max="11009" width="14.81640625" style="295" bestFit="1" customWidth="1"/>
    <col min="11010" max="11010" width="19.1796875" style="295" customWidth="1"/>
    <col min="11011" max="11011" width="57.26953125" style="295" customWidth="1"/>
    <col min="11012" max="11012" width="19.81640625" style="295" customWidth="1"/>
    <col min="11013" max="11013" width="13" style="295" customWidth="1"/>
    <col min="11014" max="11014" width="13.54296875" style="295" customWidth="1"/>
    <col min="11015" max="11015" width="27.1796875" style="295" customWidth="1"/>
    <col min="11016" max="11017" width="9.1796875" style="295"/>
    <col min="11018" max="11018" width="9.54296875" style="295" bestFit="1" customWidth="1"/>
    <col min="11019" max="11264" width="9.1796875" style="295"/>
    <col min="11265" max="11265" width="14.81640625" style="295" bestFit="1" customWidth="1"/>
    <col min="11266" max="11266" width="19.1796875" style="295" customWidth="1"/>
    <col min="11267" max="11267" width="57.26953125" style="295" customWidth="1"/>
    <col min="11268" max="11268" width="19.81640625" style="295" customWidth="1"/>
    <col min="11269" max="11269" width="13" style="295" customWidth="1"/>
    <col min="11270" max="11270" width="13.54296875" style="295" customWidth="1"/>
    <col min="11271" max="11271" width="27.1796875" style="295" customWidth="1"/>
    <col min="11272" max="11273" width="9.1796875" style="295"/>
    <col min="11274" max="11274" width="9.54296875" style="295" bestFit="1" customWidth="1"/>
    <col min="11275" max="11520" width="9.1796875" style="295"/>
    <col min="11521" max="11521" width="14.81640625" style="295" bestFit="1" customWidth="1"/>
    <col min="11522" max="11522" width="19.1796875" style="295" customWidth="1"/>
    <col min="11523" max="11523" width="57.26953125" style="295" customWidth="1"/>
    <col min="11524" max="11524" width="19.81640625" style="295" customWidth="1"/>
    <col min="11525" max="11525" width="13" style="295" customWidth="1"/>
    <col min="11526" max="11526" width="13.54296875" style="295" customWidth="1"/>
    <col min="11527" max="11527" width="27.1796875" style="295" customWidth="1"/>
    <col min="11528" max="11529" width="9.1796875" style="295"/>
    <col min="11530" max="11530" width="9.54296875" style="295" bestFit="1" customWidth="1"/>
    <col min="11531" max="11776" width="9.1796875" style="295"/>
    <col min="11777" max="11777" width="14.81640625" style="295" bestFit="1" customWidth="1"/>
    <col min="11778" max="11778" width="19.1796875" style="295" customWidth="1"/>
    <col min="11779" max="11779" width="57.26953125" style="295" customWidth="1"/>
    <col min="11780" max="11780" width="19.81640625" style="295" customWidth="1"/>
    <col min="11781" max="11781" width="13" style="295" customWidth="1"/>
    <col min="11782" max="11782" width="13.54296875" style="295" customWidth="1"/>
    <col min="11783" max="11783" width="27.1796875" style="295" customWidth="1"/>
    <col min="11784" max="11785" width="9.1796875" style="295"/>
    <col min="11786" max="11786" width="9.54296875" style="295" bestFit="1" customWidth="1"/>
    <col min="11787" max="12032" width="9.1796875" style="295"/>
    <col min="12033" max="12033" width="14.81640625" style="295" bestFit="1" customWidth="1"/>
    <col min="12034" max="12034" width="19.1796875" style="295" customWidth="1"/>
    <col min="12035" max="12035" width="57.26953125" style="295" customWidth="1"/>
    <col min="12036" max="12036" width="19.81640625" style="295" customWidth="1"/>
    <col min="12037" max="12037" width="13" style="295" customWidth="1"/>
    <col min="12038" max="12038" width="13.54296875" style="295" customWidth="1"/>
    <col min="12039" max="12039" width="27.1796875" style="295" customWidth="1"/>
    <col min="12040" max="12041" width="9.1796875" style="295"/>
    <col min="12042" max="12042" width="9.54296875" style="295" bestFit="1" customWidth="1"/>
    <col min="12043" max="12288" width="9.1796875" style="295"/>
    <col min="12289" max="12289" width="14.81640625" style="295" bestFit="1" customWidth="1"/>
    <col min="12290" max="12290" width="19.1796875" style="295" customWidth="1"/>
    <col min="12291" max="12291" width="57.26953125" style="295" customWidth="1"/>
    <col min="12292" max="12292" width="19.81640625" style="295" customWidth="1"/>
    <col min="12293" max="12293" width="13" style="295" customWidth="1"/>
    <col min="12294" max="12294" width="13.54296875" style="295" customWidth="1"/>
    <col min="12295" max="12295" width="27.1796875" style="295" customWidth="1"/>
    <col min="12296" max="12297" width="9.1796875" style="295"/>
    <col min="12298" max="12298" width="9.54296875" style="295" bestFit="1" customWidth="1"/>
    <col min="12299" max="12544" width="9.1796875" style="295"/>
    <col min="12545" max="12545" width="14.81640625" style="295" bestFit="1" customWidth="1"/>
    <col min="12546" max="12546" width="19.1796875" style="295" customWidth="1"/>
    <col min="12547" max="12547" width="57.26953125" style="295" customWidth="1"/>
    <col min="12548" max="12548" width="19.81640625" style="295" customWidth="1"/>
    <col min="12549" max="12549" width="13" style="295" customWidth="1"/>
    <col min="12550" max="12550" width="13.54296875" style="295" customWidth="1"/>
    <col min="12551" max="12551" width="27.1796875" style="295" customWidth="1"/>
    <col min="12552" max="12553" width="9.1796875" style="295"/>
    <col min="12554" max="12554" width="9.54296875" style="295" bestFit="1" customWidth="1"/>
    <col min="12555" max="12800" width="9.1796875" style="295"/>
    <col min="12801" max="12801" width="14.81640625" style="295" bestFit="1" customWidth="1"/>
    <col min="12802" max="12802" width="19.1796875" style="295" customWidth="1"/>
    <col min="12803" max="12803" width="57.26953125" style="295" customWidth="1"/>
    <col min="12804" max="12804" width="19.81640625" style="295" customWidth="1"/>
    <col min="12805" max="12805" width="13" style="295" customWidth="1"/>
    <col min="12806" max="12806" width="13.54296875" style="295" customWidth="1"/>
    <col min="12807" max="12807" width="27.1796875" style="295" customWidth="1"/>
    <col min="12808" max="12809" width="9.1796875" style="295"/>
    <col min="12810" max="12810" width="9.54296875" style="295" bestFit="1" customWidth="1"/>
    <col min="12811" max="13056" width="9.1796875" style="295"/>
    <col min="13057" max="13057" width="14.81640625" style="295" bestFit="1" customWidth="1"/>
    <col min="13058" max="13058" width="19.1796875" style="295" customWidth="1"/>
    <col min="13059" max="13059" width="57.26953125" style="295" customWidth="1"/>
    <col min="13060" max="13060" width="19.81640625" style="295" customWidth="1"/>
    <col min="13061" max="13061" width="13" style="295" customWidth="1"/>
    <col min="13062" max="13062" width="13.54296875" style="295" customWidth="1"/>
    <col min="13063" max="13063" width="27.1796875" style="295" customWidth="1"/>
    <col min="13064" max="13065" width="9.1796875" style="295"/>
    <col min="13066" max="13066" width="9.54296875" style="295" bestFit="1" customWidth="1"/>
    <col min="13067" max="13312" width="9.1796875" style="295"/>
    <col min="13313" max="13313" width="14.81640625" style="295" bestFit="1" customWidth="1"/>
    <col min="13314" max="13314" width="19.1796875" style="295" customWidth="1"/>
    <col min="13315" max="13315" width="57.26953125" style="295" customWidth="1"/>
    <col min="13316" max="13316" width="19.81640625" style="295" customWidth="1"/>
    <col min="13317" max="13317" width="13" style="295" customWidth="1"/>
    <col min="13318" max="13318" width="13.54296875" style="295" customWidth="1"/>
    <col min="13319" max="13319" width="27.1796875" style="295" customWidth="1"/>
    <col min="13320" max="13321" width="9.1796875" style="295"/>
    <col min="13322" max="13322" width="9.54296875" style="295" bestFit="1" customWidth="1"/>
    <col min="13323" max="13568" width="9.1796875" style="295"/>
    <col min="13569" max="13569" width="14.81640625" style="295" bestFit="1" customWidth="1"/>
    <col min="13570" max="13570" width="19.1796875" style="295" customWidth="1"/>
    <col min="13571" max="13571" width="57.26953125" style="295" customWidth="1"/>
    <col min="13572" max="13572" width="19.81640625" style="295" customWidth="1"/>
    <col min="13573" max="13573" width="13" style="295" customWidth="1"/>
    <col min="13574" max="13574" width="13.54296875" style="295" customWidth="1"/>
    <col min="13575" max="13575" width="27.1796875" style="295" customWidth="1"/>
    <col min="13576" max="13577" width="9.1796875" style="295"/>
    <col min="13578" max="13578" width="9.54296875" style="295" bestFit="1" customWidth="1"/>
    <col min="13579" max="13824" width="9.1796875" style="295"/>
    <col min="13825" max="13825" width="14.81640625" style="295" bestFit="1" customWidth="1"/>
    <col min="13826" max="13826" width="19.1796875" style="295" customWidth="1"/>
    <col min="13827" max="13827" width="57.26953125" style="295" customWidth="1"/>
    <col min="13828" max="13828" width="19.81640625" style="295" customWidth="1"/>
    <col min="13829" max="13829" width="13" style="295" customWidth="1"/>
    <col min="13830" max="13830" width="13.54296875" style="295" customWidth="1"/>
    <col min="13831" max="13831" width="27.1796875" style="295" customWidth="1"/>
    <col min="13832" max="13833" width="9.1796875" style="295"/>
    <col min="13834" max="13834" width="9.54296875" style="295" bestFit="1" customWidth="1"/>
    <col min="13835" max="14080" width="9.1796875" style="295"/>
    <col min="14081" max="14081" width="14.81640625" style="295" bestFit="1" customWidth="1"/>
    <col min="14082" max="14082" width="19.1796875" style="295" customWidth="1"/>
    <col min="14083" max="14083" width="57.26953125" style="295" customWidth="1"/>
    <col min="14084" max="14084" width="19.81640625" style="295" customWidth="1"/>
    <col min="14085" max="14085" width="13" style="295" customWidth="1"/>
    <col min="14086" max="14086" width="13.54296875" style="295" customWidth="1"/>
    <col min="14087" max="14087" width="27.1796875" style="295" customWidth="1"/>
    <col min="14088" max="14089" width="9.1796875" style="295"/>
    <col min="14090" max="14090" width="9.54296875" style="295" bestFit="1" customWidth="1"/>
    <col min="14091" max="14336" width="9.1796875" style="295"/>
    <col min="14337" max="14337" width="14.81640625" style="295" bestFit="1" customWidth="1"/>
    <col min="14338" max="14338" width="19.1796875" style="295" customWidth="1"/>
    <col min="14339" max="14339" width="57.26953125" style="295" customWidth="1"/>
    <col min="14340" max="14340" width="19.81640625" style="295" customWidth="1"/>
    <col min="14341" max="14341" width="13" style="295" customWidth="1"/>
    <col min="14342" max="14342" width="13.54296875" style="295" customWidth="1"/>
    <col min="14343" max="14343" width="27.1796875" style="295" customWidth="1"/>
    <col min="14344" max="14345" width="9.1796875" style="295"/>
    <col min="14346" max="14346" width="9.54296875" style="295" bestFit="1" customWidth="1"/>
    <col min="14347" max="14592" width="9.1796875" style="295"/>
    <col min="14593" max="14593" width="14.81640625" style="295" bestFit="1" customWidth="1"/>
    <col min="14594" max="14594" width="19.1796875" style="295" customWidth="1"/>
    <col min="14595" max="14595" width="57.26953125" style="295" customWidth="1"/>
    <col min="14596" max="14596" width="19.81640625" style="295" customWidth="1"/>
    <col min="14597" max="14597" width="13" style="295" customWidth="1"/>
    <col min="14598" max="14598" width="13.54296875" style="295" customWidth="1"/>
    <col min="14599" max="14599" width="27.1796875" style="295" customWidth="1"/>
    <col min="14600" max="14601" width="9.1796875" style="295"/>
    <col min="14602" max="14602" width="9.54296875" style="295" bestFit="1" customWidth="1"/>
    <col min="14603" max="14848" width="9.1796875" style="295"/>
    <col min="14849" max="14849" width="14.81640625" style="295" bestFit="1" customWidth="1"/>
    <col min="14850" max="14850" width="19.1796875" style="295" customWidth="1"/>
    <col min="14851" max="14851" width="57.26953125" style="295" customWidth="1"/>
    <col min="14852" max="14852" width="19.81640625" style="295" customWidth="1"/>
    <col min="14853" max="14853" width="13" style="295" customWidth="1"/>
    <col min="14854" max="14854" width="13.54296875" style="295" customWidth="1"/>
    <col min="14855" max="14855" width="27.1796875" style="295" customWidth="1"/>
    <col min="14856" max="14857" width="9.1796875" style="295"/>
    <col min="14858" max="14858" width="9.54296875" style="295" bestFit="1" customWidth="1"/>
    <col min="14859" max="15104" width="9.1796875" style="295"/>
    <col min="15105" max="15105" width="14.81640625" style="295" bestFit="1" customWidth="1"/>
    <col min="15106" max="15106" width="19.1796875" style="295" customWidth="1"/>
    <col min="15107" max="15107" width="57.26953125" style="295" customWidth="1"/>
    <col min="15108" max="15108" width="19.81640625" style="295" customWidth="1"/>
    <col min="15109" max="15109" width="13" style="295" customWidth="1"/>
    <col min="15110" max="15110" width="13.54296875" style="295" customWidth="1"/>
    <col min="15111" max="15111" width="27.1796875" style="295" customWidth="1"/>
    <col min="15112" max="15113" width="9.1796875" style="295"/>
    <col min="15114" max="15114" width="9.54296875" style="295" bestFit="1" customWidth="1"/>
    <col min="15115" max="15360" width="9.1796875" style="295"/>
    <col min="15361" max="15361" width="14.81640625" style="295" bestFit="1" customWidth="1"/>
    <col min="15362" max="15362" width="19.1796875" style="295" customWidth="1"/>
    <col min="15363" max="15363" width="57.26953125" style="295" customWidth="1"/>
    <col min="15364" max="15364" width="19.81640625" style="295" customWidth="1"/>
    <col min="15365" max="15365" width="13" style="295" customWidth="1"/>
    <col min="15366" max="15366" width="13.54296875" style="295" customWidth="1"/>
    <col min="15367" max="15367" width="27.1796875" style="295" customWidth="1"/>
    <col min="15368" max="15369" width="9.1796875" style="295"/>
    <col min="15370" max="15370" width="9.54296875" style="295" bestFit="1" customWidth="1"/>
    <col min="15371" max="15616" width="9.1796875" style="295"/>
    <col min="15617" max="15617" width="14.81640625" style="295" bestFit="1" customWidth="1"/>
    <col min="15618" max="15618" width="19.1796875" style="295" customWidth="1"/>
    <col min="15619" max="15619" width="57.26953125" style="295" customWidth="1"/>
    <col min="15620" max="15620" width="19.81640625" style="295" customWidth="1"/>
    <col min="15621" max="15621" width="13" style="295" customWidth="1"/>
    <col min="15622" max="15622" width="13.54296875" style="295" customWidth="1"/>
    <col min="15623" max="15623" width="27.1796875" style="295" customWidth="1"/>
    <col min="15624" max="15625" width="9.1796875" style="295"/>
    <col min="15626" max="15626" width="9.54296875" style="295" bestFit="1" customWidth="1"/>
    <col min="15627" max="15872" width="9.1796875" style="295"/>
    <col min="15873" max="15873" width="14.81640625" style="295" bestFit="1" customWidth="1"/>
    <col min="15874" max="15874" width="19.1796875" style="295" customWidth="1"/>
    <col min="15875" max="15875" width="57.26953125" style="295" customWidth="1"/>
    <col min="15876" max="15876" width="19.81640625" style="295" customWidth="1"/>
    <col min="15877" max="15877" width="13" style="295" customWidth="1"/>
    <col min="15878" max="15878" width="13.54296875" style="295" customWidth="1"/>
    <col min="15879" max="15879" width="27.1796875" style="295" customWidth="1"/>
    <col min="15880" max="15881" width="9.1796875" style="295"/>
    <col min="15882" max="15882" width="9.54296875" style="295" bestFit="1" customWidth="1"/>
    <col min="15883" max="16128" width="9.1796875" style="295"/>
    <col min="16129" max="16129" width="14.81640625" style="295" bestFit="1" customWidth="1"/>
    <col min="16130" max="16130" width="19.1796875" style="295" customWidth="1"/>
    <col min="16131" max="16131" width="57.26953125" style="295" customWidth="1"/>
    <col min="16132" max="16132" width="19.81640625" style="295" customWidth="1"/>
    <col min="16133" max="16133" width="13" style="295" customWidth="1"/>
    <col min="16134" max="16134" width="13.54296875" style="295" customWidth="1"/>
    <col min="16135" max="16135" width="27.1796875" style="295" customWidth="1"/>
    <col min="16136" max="16137" width="9.1796875" style="295"/>
    <col min="16138" max="16138" width="9.54296875" style="295" bestFit="1" customWidth="1"/>
    <col min="16139" max="16384" width="9.1796875" style="295"/>
  </cols>
  <sheetData>
    <row r="1" spans="1:78" s="240" customFormat="1" ht="30" customHeight="1" thickBot="1">
      <c r="A1" s="234" t="s">
        <v>23</v>
      </c>
      <c r="B1" s="235" t="s">
        <v>2495</v>
      </c>
      <c r="C1" s="235" t="s">
        <v>1946</v>
      </c>
      <c r="D1" s="235" t="s">
        <v>1947</v>
      </c>
      <c r="E1" s="236" t="s">
        <v>2496</v>
      </c>
      <c r="F1" s="236" t="s">
        <v>2497</v>
      </c>
      <c r="G1" s="237" t="s">
        <v>2498</v>
      </c>
      <c r="H1" s="238"/>
      <c r="I1" s="239" t="s">
        <v>2499</v>
      </c>
      <c r="J1" s="238"/>
      <c r="K1" s="238"/>
      <c r="L1" s="238"/>
      <c r="M1" s="238"/>
      <c r="N1" s="238"/>
    </row>
    <row r="2" spans="1:78" s="249" customFormat="1" ht="15" customHeight="1" thickTop="1">
      <c r="A2" s="241">
        <v>1.111</v>
      </c>
      <c r="B2" s="242" t="s">
        <v>2500</v>
      </c>
      <c r="C2" s="243" t="str">
        <f>VLOOKUP($B2,'[4]Data - DO NOT PRINT'!$B$3:$G$297,2,FALSE)</f>
        <v>Radio Equipment Room</v>
      </c>
      <c r="D2" s="244" t="str">
        <f>VLOOKUP($B2,'[4]Data - DO NOT PRINT'!$B$3:$G$297,3,FALSE)</f>
        <v>02 Level</v>
      </c>
      <c r="E2" s="244">
        <f>VLOOKUP($B2,'[4]Data - DO NOT PRINT'!$B$3:$G$297,4,FALSE)</f>
        <v>27.85</v>
      </c>
      <c r="F2" s="244">
        <f>VLOOKUP($B2,'[4]Data - DO NOT PRINT'!$B$3:$G$297,5,FALSE)</f>
        <v>66.510000000000005</v>
      </c>
      <c r="G2" s="245" t="str">
        <f>IF(VLOOKUP($B2,'[4]Data - DO NOT PRINT'!$B$3:$G$297,6,FALSE)=0,"",VLOOKUP($B2,'[4]Data - DO NOT PRINT'!$B$3:$G$297,6,FALSE))</f>
        <v/>
      </c>
      <c r="H2" s="246"/>
      <c r="I2" s="247"/>
      <c r="J2" s="246"/>
      <c r="K2" s="246"/>
      <c r="L2" s="246"/>
      <c r="M2" s="246"/>
      <c r="N2" s="246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8"/>
      <c r="BB2" s="248"/>
      <c r="BC2" s="248"/>
      <c r="BD2" s="248"/>
      <c r="BE2" s="248"/>
      <c r="BF2" s="248"/>
      <c r="BG2" s="248"/>
      <c r="BH2" s="248"/>
      <c r="BI2" s="248"/>
      <c r="BJ2" s="248"/>
      <c r="BK2" s="248"/>
      <c r="BL2" s="248"/>
      <c r="BM2" s="248"/>
      <c r="BN2" s="248"/>
      <c r="BO2" s="248"/>
      <c r="BP2" s="248"/>
      <c r="BQ2" s="248"/>
      <c r="BR2" s="248"/>
      <c r="BS2" s="248"/>
      <c r="BT2" s="248"/>
      <c r="BU2" s="248"/>
      <c r="BV2" s="248"/>
      <c r="BW2" s="248"/>
      <c r="BX2" s="248"/>
      <c r="BY2" s="248"/>
      <c r="BZ2" s="248"/>
    </row>
    <row r="3" spans="1:78" s="256" customFormat="1" ht="15" customHeight="1">
      <c r="A3" s="250">
        <v>1.1111</v>
      </c>
      <c r="B3" s="251" t="s">
        <v>2501</v>
      </c>
      <c r="C3" s="252" t="str">
        <f>VLOOKUP($B3,'[4]Data - DO NOT PRINT'!$B$3:$G$297,2,FALSE)</f>
        <v>Integrated Radio Room</v>
      </c>
      <c r="D3" s="253" t="str">
        <f>VLOOKUP($B3,'[4]Data - DO NOT PRINT'!$B$3:$G$297,3,FALSE)</f>
        <v>Main Deck</v>
      </c>
      <c r="E3" s="253">
        <f>VLOOKUP($B3,'[4]Data - DO NOT PRINT'!$B$3:$G$297,4,FALSE)</f>
        <v>38.11</v>
      </c>
      <c r="F3" s="253">
        <f>VLOOKUP($B3,'[4]Data - DO NOT PRINT'!$B$3:$G$297,5,FALSE)</f>
        <v>101.02</v>
      </c>
      <c r="G3" s="254" t="str">
        <f>IF(VLOOKUP($B3,'[4]Data - DO NOT PRINT'!$B$3:$G$297,6,FALSE)=0,"",VLOOKUP($B3,'[4]Data - DO NOT PRINT'!$B$3:$G$297,6,FALSE))</f>
        <v/>
      </c>
      <c r="H3" s="246"/>
      <c r="I3" s="255"/>
      <c r="J3" s="238"/>
      <c r="K3" s="238"/>
      <c r="L3" s="238"/>
      <c r="M3" s="238"/>
      <c r="N3" s="238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</row>
    <row r="4" spans="1:78" s="256" customFormat="1" ht="15" customHeight="1" thickBot="1">
      <c r="A4" s="257">
        <v>1.1160300000000001</v>
      </c>
      <c r="B4" s="258" t="s">
        <v>2502</v>
      </c>
      <c r="C4" s="259" t="str">
        <f>VLOOKUP($B4,'[4]Data - DO NOT PRINT'!$B$3:$G$297,2,FALSE)</f>
        <v>TSCIF</v>
      </c>
      <c r="D4" s="260" t="str">
        <f>VLOOKUP($B4,'[4]Data - DO NOT PRINT'!$B$3:$G$297,3,FALSE)</f>
        <v>02 Level</v>
      </c>
      <c r="E4" s="260">
        <f>VLOOKUP($B4,'[4]Data - DO NOT PRINT'!$B$3:$G$297,4,FALSE)</f>
        <v>6.34</v>
      </c>
      <c r="F4" s="260">
        <f>VLOOKUP($B4,'[4]Data - DO NOT PRINT'!$B$3:$G$297,5,FALSE)</f>
        <v>15.79</v>
      </c>
      <c r="G4" s="261" t="str">
        <f>IF(VLOOKUP($B4,'[4]Data - DO NOT PRINT'!$B$3:$G$297,6,FALSE)=0,"",VLOOKUP($B4,'[4]Data - DO NOT PRINT'!$B$3:$G$297,6,FALSE))</f>
        <v/>
      </c>
      <c r="H4" s="246"/>
      <c r="I4" s="255"/>
      <c r="J4" s="238"/>
      <c r="K4" s="238"/>
      <c r="L4" s="238"/>
      <c r="M4" s="238"/>
      <c r="N4" s="238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  <c r="AS4" s="240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</row>
    <row r="5" spans="1:78" s="248" customFormat="1" ht="15" customHeight="1" thickBot="1">
      <c r="A5" s="262"/>
      <c r="B5" s="431" t="s">
        <v>2503</v>
      </c>
      <c r="C5" s="431"/>
      <c r="D5" s="432"/>
      <c r="E5" s="263">
        <f>SUBTOTAL(9,E2:E4)</f>
        <v>72.300000000000011</v>
      </c>
      <c r="F5" s="263">
        <f>SUBTOTAL(9,F2:F4)</f>
        <v>183.32</v>
      </c>
      <c r="G5" s="264"/>
      <c r="H5" s="246"/>
      <c r="I5" s="265"/>
      <c r="J5" s="266"/>
      <c r="K5" s="267"/>
      <c r="L5" s="268"/>
      <c r="M5" s="246"/>
      <c r="N5" s="246"/>
    </row>
    <row r="6" spans="1:78" s="256" customFormat="1" ht="15" customHeight="1">
      <c r="A6" s="269">
        <v>1.1211104000000001</v>
      </c>
      <c r="B6" s="270" t="s">
        <v>2504</v>
      </c>
      <c r="C6" s="271" t="str">
        <f>VLOOKUP($B6,'[4]Data - DO NOT PRINT'!$B$3:$G$297,2,FALSE)</f>
        <v>Radar Room</v>
      </c>
      <c r="D6" s="272" t="str">
        <f>VLOOKUP($B6,'[4]Data - DO NOT PRINT'!$B$3:$G$297,3,FALSE)</f>
        <v>03 Level</v>
      </c>
      <c r="E6" s="272">
        <f>VLOOKUP($B6,'[4]Data - DO NOT PRINT'!$B$3:$G$297,4,FALSE)</f>
        <v>35.9</v>
      </c>
      <c r="F6" s="272">
        <f>VLOOKUP($B6,'[4]Data - DO NOT PRINT'!$B$3:$G$297,5,FALSE)</f>
        <v>76.39</v>
      </c>
      <c r="G6" s="273" t="str">
        <f>IF(VLOOKUP($B6,'[4]Data - DO NOT PRINT'!$B$3:$G$297,6,FALSE)=0,"",VLOOKUP($B6,'[4]Data - DO NOT PRINT'!$B$3:$G$297,6,FALSE))</f>
        <v/>
      </c>
      <c r="H6" s="246"/>
      <c r="I6" s="255"/>
      <c r="J6" s="238"/>
      <c r="K6" s="238"/>
      <c r="L6" s="238"/>
      <c r="M6" s="238"/>
      <c r="N6" s="238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</row>
    <row r="7" spans="1:78" s="248" customFormat="1" ht="15" customHeight="1" thickBot="1">
      <c r="A7" s="257">
        <v>1.1222019999999999</v>
      </c>
      <c r="B7" s="258" t="s">
        <v>2505</v>
      </c>
      <c r="C7" s="259" t="str">
        <f>VLOOKUP($B7,'[4]Data - DO NOT PRINT'!$B$3:$G$297,2,FALSE)</f>
        <v>Speed Log Eqpt Tank</v>
      </c>
      <c r="D7" s="260" t="str">
        <f>VLOOKUP($B7,'[4]Data - DO NOT PRINT'!$B$3:$G$297,3,FALSE)</f>
        <v>Hold</v>
      </c>
      <c r="E7" s="260">
        <f>VLOOKUP($B7,'[4]Data - DO NOT PRINT'!$B$3:$G$297,4,FALSE)</f>
        <v>0</v>
      </c>
      <c r="F7" s="260">
        <f>VLOOKUP($B7,'[4]Data - DO NOT PRINT'!$B$3:$G$297,5,FALSE)</f>
        <v>1.82</v>
      </c>
      <c r="G7" s="261" t="str">
        <f>IF(VLOOKUP($B7,'[4]Data - DO NOT PRINT'!$B$3:$G$297,6,FALSE)=0,"",VLOOKUP($B7,'[4]Data - DO NOT PRINT'!$B$3:$G$297,6,FALSE))</f>
        <v/>
      </c>
      <c r="H7" s="246"/>
      <c r="I7" s="247"/>
      <c r="J7" s="246"/>
      <c r="K7" s="246"/>
      <c r="L7" s="246"/>
      <c r="M7" s="246"/>
      <c r="N7" s="246"/>
    </row>
    <row r="8" spans="1:78" s="248" customFormat="1" ht="15" customHeight="1" thickBot="1">
      <c r="A8" s="262"/>
      <c r="B8" s="431" t="s">
        <v>2506</v>
      </c>
      <c r="C8" s="431"/>
      <c r="D8" s="432"/>
      <c r="E8" s="263">
        <f>SUBTOTAL(9,E6:E7)</f>
        <v>35.9</v>
      </c>
      <c r="F8" s="263">
        <f>SUBTOTAL(9,F6:F7)</f>
        <v>78.209999999999994</v>
      </c>
      <c r="G8" s="264"/>
      <c r="H8" s="246"/>
      <c r="I8" s="265"/>
      <c r="J8" s="266"/>
      <c r="K8" s="267"/>
      <c r="L8" s="268"/>
      <c r="M8" s="246"/>
      <c r="N8" s="246"/>
    </row>
    <row r="9" spans="1:78" s="248" customFormat="1" ht="15" customHeight="1">
      <c r="A9" s="269">
        <v>1.1310100000000001</v>
      </c>
      <c r="B9" s="270" t="s">
        <v>2507</v>
      </c>
      <c r="C9" s="271" t="str">
        <f>VLOOKUP($B9,'[4]Data - DO NOT PRINT'!$B$3:$G$297,2,FALSE)</f>
        <v>Mission Control Center</v>
      </c>
      <c r="D9" s="272" t="str">
        <f>VLOOKUP($B9,'[4]Data - DO NOT PRINT'!$B$3:$G$297,3,FALSE)</f>
        <v>1st Platform</v>
      </c>
      <c r="E9" s="272">
        <f>VLOOKUP($B9,'[4]Data - DO NOT PRINT'!$B$3:$G$297,4,FALSE)</f>
        <v>76.53</v>
      </c>
      <c r="F9" s="272">
        <f>VLOOKUP($B9,'[4]Data - DO NOT PRINT'!$B$3:$G$297,5,FALSE)</f>
        <v>250.21</v>
      </c>
      <c r="G9" s="273" t="str">
        <f>IF(VLOOKUP($B9,'[4]Data - DO NOT PRINT'!$B$3:$G$297,6,FALSE)=0,"",VLOOKUP($B9,'[4]Data - DO NOT PRINT'!$B$3:$G$297,6,FALSE))</f>
        <v/>
      </c>
      <c r="H9" s="246"/>
      <c r="I9" s="247"/>
      <c r="J9" s="246"/>
      <c r="K9" s="246"/>
      <c r="L9" s="246"/>
      <c r="M9" s="246"/>
      <c r="N9" s="246"/>
    </row>
    <row r="10" spans="1:78" s="249" customFormat="1" ht="15" customHeight="1">
      <c r="A10" s="250">
        <v>1.13201</v>
      </c>
      <c r="B10" s="251" t="s">
        <v>2508</v>
      </c>
      <c r="C10" s="252" t="str">
        <f>VLOOKUP($B10,'[4]Data - DO NOT PRINT'!$B$3:$G$297,2,FALSE)</f>
        <v>Pilot House</v>
      </c>
      <c r="D10" s="253" t="str">
        <f>VLOOKUP($B10,'[4]Data - DO NOT PRINT'!$B$3:$G$297,3,FALSE)</f>
        <v>01 Level</v>
      </c>
      <c r="E10" s="253">
        <f>VLOOKUP($B10,'[4]Data - DO NOT PRINT'!$B$3:$G$297,4,FALSE)</f>
        <v>78.337999999999994</v>
      </c>
      <c r="F10" s="253">
        <f>VLOOKUP($B10,'[4]Data - DO NOT PRINT'!$B$3:$G$297,5,FALSE)</f>
        <v>167.762</v>
      </c>
      <c r="G10" s="254" t="str">
        <f>IF(VLOOKUP($B10,'[4]Data - DO NOT PRINT'!$B$3:$G$297,6,FALSE)=0,"",VLOOKUP($B10,'[4]Data - DO NOT PRINT'!$B$3:$G$297,6,FALSE))</f>
        <v/>
      </c>
      <c r="H10" s="246"/>
      <c r="I10" s="247"/>
      <c r="J10" s="246"/>
      <c r="K10" s="246"/>
      <c r="L10" s="246"/>
      <c r="M10" s="246"/>
      <c r="N10" s="246"/>
      <c r="O10" s="24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248"/>
      <c r="AU10" s="248"/>
      <c r="AV10" s="248"/>
      <c r="AW10" s="248"/>
      <c r="AX10" s="248"/>
      <c r="AY10" s="248"/>
      <c r="AZ10" s="248"/>
      <c r="BA10" s="248"/>
      <c r="BB10" s="248"/>
      <c r="BC10" s="248"/>
      <c r="BD10" s="248"/>
      <c r="BE10" s="248"/>
      <c r="BF10" s="248"/>
      <c r="BG10" s="248"/>
      <c r="BH10" s="248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</row>
    <row r="11" spans="1:78" s="249" customFormat="1" ht="15" customHeight="1">
      <c r="A11" s="250">
        <v>1.13202</v>
      </c>
      <c r="B11" s="251" t="s">
        <v>2509</v>
      </c>
      <c r="C11" s="252" t="str">
        <f>VLOOKUP($B11,'[4]Data - DO NOT PRINT'!$B$3:$G$297,2,FALSE)</f>
        <v>Chart Room</v>
      </c>
      <c r="D11" s="253" t="str">
        <f>VLOOKUP($B11,'[4]Data - DO NOT PRINT'!$B$3:$G$297,3,FALSE)</f>
        <v>01 Level</v>
      </c>
      <c r="E11" s="253">
        <f>VLOOKUP($B11,'[4]Data - DO NOT PRINT'!$B$3:$G$297,4,FALSE)</f>
        <v>8.17</v>
      </c>
      <c r="F11" s="253">
        <f>VLOOKUP($B11,'[4]Data - DO NOT PRINT'!$B$3:$G$297,5,FALSE)</f>
        <v>22.88</v>
      </c>
      <c r="G11" s="254" t="str">
        <f>IF(VLOOKUP($B11,'[4]Data - DO NOT PRINT'!$B$3:$G$297,6,FALSE)=0,"",VLOOKUP($B11,'[4]Data - DO NOT PRINT'!$B$3:$G$297,6,FALSE))</f>
        <v/>
      </c>
      <c r="H11" s="246"/>
      <c r="I11" s="247"/>
      <c r="J11" s="246"/>
      <c r="K11" s="246"/>
      <c r="L11" s="246"/>
      <c r="M11" s="246"/>
      <c r="N11" s="246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248"/>
      <c r="AU11" s="248"/>
      <c r="AV11" s="248"/>
      <c r="AW11" s="248"/>
      <c r="AX11" s="248"/>
      <c r="AY11" s="248"/>
      <c r="AZ11" s="248"/>
      <c r="BA11" s="248"/>
      <c r="BB11" s="248"/>
      <c r="BC11" s="248"/>
      <c r="BD11" s="248"/>
      <c r="BE11" s="248"/>
      <c r="BF11" s="248"/>
      <c r="BG11" s="248"/>
      <c r="BH11" s="248"/>
      <c r="BI11" s="248"/>
      <c r="BJ11" s="248"/>
      <c r="BK11" s="248"/>
      <c r="BL11" s="248"/>
      <c r="BM11" s="248"/>
      <c r="BN11" s="248"/>
      <c r="BO11" s="248"/>
      <c r="BP11" s="248"/>
      <c r="BQ11" s="248"/>
      <c r="BR11" s="248"/>
      <c r="BS11" s="248"/>
      <c r="BT11" s="248"/>
      <c r="BU11" s="248"/>
      <c r="BV11" s="248"/>
      <c r="BW11" s="248"/>
      <c r="BX11" s="248"/>
      <c r="BY11" s="248"/>
      <c r="BZ11" s="248"/>
    </row>
    <row r="12" spans="1:78" s="248" customFormat="1" ht="15" customHeight="1">
      <c r="A12" s="250">
        <v>1.1340300000000001</v>
      </c>
      <c r="B12" s="251" t="s">
        <v>2510</v>
      </c>
      <c r="C12" s="252" t="str">
        <f>VLOOKUP($B12,'[4]Data - DO NOT PRINT'!$B$3:$G$297,2,FALSE)</f>
        <v>Combat/Excomm Equipment Room</v>
      </c>
      <c r="D12" s="253" t="str">
        <f>VLOOKUP($B12,'[4]Data - DO NOT PRINT'!$B$3:$G$297,3,FALSE)</f>
        <v>02 Level</v>
      </c>
      <c r="E12" s="253">
        <f>VLOOKUP($B12,'[4]Data - DO NOT PRINT'!$B$3:$G$297,4,FALSE)</f>
        <v>30.44</v>
      </c>
      <c r="F12" s="253">
        <f>VLOOKUP($B12,'[4]Data - DO NOT PRINT'!$B$3:$G$297,5,FALSE)</f>
        <v>72.650000000000006</v>
      </c>
      <c r="G12" s="254" t="str">
        <f>IF(VLOOKUP($B12,'[4]Data - DO NOT PRINT'!$B$3:$G$297,6,FALSE)=0,"",VLOOKUP($B12,'[4]Data - DO NOT PRINT'!$B$3:$G$297,6,FALSE))</f>
        <v/>
      </c>
      <c r="H12" s="246"/>
      <c r="I12" s="247"/>
      <c r="J12" s="246"/>
      <c r="K12" s="246"/>
      <c r="L12" s="246"/>
      <c r="M12" s="246"/>
      <c r="N12" s="246"/>
    </row>
    <row r="13" spans="1:78" s="249" customFormat="1" ht="15" customHeight="1">
      <c r="A13" s="250">
        <v>1.1340300000000001</v>
      </c>
      <c r="B13" s="251" t="s">
        <v>2511</v>
      </c>
      <c r="C13" s="252" t="str">
        <f>VLOOKUP($B13,'[4]Data - DO NOT PRINT'!$B$3:$G$297,2,FALSE)</f>
        <v>Combat Systems Equipment Room No. 2</v>
      </c>
      <c r="D13" s="253" t="str">
        <f>VLOOKUP($B13,'[4]Data - DO NOT PRINT'!$B$3:$G$297,3,FALSE)</f>
        <v>02 Level</v>
      </c>
      <c r="E13" s="253">
        <f>VLOOKUP($B13,'[4]Data - DO NOT PRINT'!$B$3:$G$297,4,FALSE)</f>
        <v>31.44</v>
      </c>
      <c r="F13" s="253">
        <f>VLOOKUP($B13,'[4]Data - DO NOT PRINT'!$B$3:$G$297,5,FALSE)</f>
        <v>72.569999999999993</v>
      </c>
      <c r="G13" s="254" t="str">
        <f>IF(VLOOKUP($B13,'[4]Data - DO NOT PRINT'!$B$3:$G$297,6,FALSE)=0,"",VLOOKUP($B13,'[4]Data - DO NOT PRINT'!$B$3:$G$297,6,FALSE))</f>
        <v/>
      </c>
      <c r="H13" s="246"/>
      <c r="I13" s="247"/>
      <c r="J13" s="246"/>
      <c r="K13" s="246"/>
      <c r="L13" s="246"/>
      <c r="M13" s="246"/>
      <c r="N13" s="246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8"/>
      <c r="AV13" s="248"/>
      <c r="AW13" s="248"/>
      <c r="AX13" s="248"/>
      <c r="AY13" s="248"/>
      <c r="AZ13" s="248"/>
      <c r="BA13" s="248"/>
      <c r="BB13" s="248"/>
      <c r="BC13" s="248"/>
      <c r="BD13" s="248"/>
      <c r="BE13" s="248"/>
      <c r="BF13" s="248"/>
      <c r="BG13" s="248"/>
      <c r="BH13" s="248"/>
      <c r="BI13" s="248"/>
      <c r="BJ13" s="248"/>
      <c r="BK13" s="248"/>
      <c r="BL13" s="248"/>
      <c r="BM13" s="248"/>
      <c r="BN13" s="248"/>
      <c r="BO13" s="248"/>
      <c r="BP13" s="248"/>
      <c r="BQ13" s="248"/>
      <c r="BR13" s="248"/>
      <c r="BS13" s="248"/>
      <c r="BT13" s="248"/>
      <c r="BU13" s="248"/>
      <c r="BV13" s="248"/>
      <c r="BW13" s="248"/>
      <c r="BX13" s="248"/>
      <c r="BY13" s="248"/>
      <c r="BZ13" s="248"/>
    </row>
    <row r="14" spans="1:78" s="248" customFormat="1" ht="15" customHeight="1">
      <c r="A14" s="250">
        <v>1.1340300000000001</v>
      </c>
      <c r="B14" s="251" t="s">
        <v>2512</v>
      </c>
      <c r="C14" s="252" t="str">
        <f>VLOOKUP($B14,'[4]Data - DO NOT PRINT'!$B$3:$G$297,2,FALSE)</f>
        <v>Combat Systems Equipment Room No. 1</v>
      </c>
      <c r="D14" s="253" t="str">
        <f>VLOOKUP($B14,'[4]Data - DO NOT PRINT'!$B$3:$G$297,3,FALSE)</f>
        <v>02 Level</v>
      </c>
      <c r="E14" s="253">
        <f>VLOOKUP($B14,'[4]Data - DO NOT PRINT'!$B$3:$G$297,4,FALSE)</f>
        <v>26.09</v>
      </c>
      <c r="F14" s="253">
        <f>VLOOKUP($B14,'[4]Data - DO NOT PRINT'!$B$3:$G$297,5,FALSE)</f>
        <v>58.79</v>
      </c>
      <c r="G14" s="254" t="str">
        <f>IF(VLOOKUP($B14,'[4]Data - DO NOT PRINT'!$B$3:$G$297,6,FALSE)=0,"",VLOOKUP($B14,'[4]Data - DO NOT PRINT'!$B$3:$G$297,6,FALSE))</f>
        <v/>
      </c>
      <c r="H14" s="246"/>
      <c r="I14" s="247"/>
      <c r="J14" s="246"/>
      <c r="K14" s="246"/>
      <c r="L14" s="246"/>
      <c r="M14" s="246"/>
      <c r="N14" s="246"/>
    </row>
    <row r="15" spans="1:78" s="249" customFormat="1" ht="15" customHeight="1">
      <c r="A15" s="250">
        <v>1.1340300000000001</v>
      </c>
      <c r="B15" s="251" t="s">
        <v>2513</v>
      </c>
      <c r="C15" s="252" t="str">
        <f>VLOOKUP($B15,'[4]Data - DO NOT PRINT'!$B$3:$G$297,2,FALSE)</f>
        <v>Combat Systems Equipment Room No. 3</v>
      </c>
      <c r="D15" s="253" t="str">
        <f>VLOOKUP($B15,'[4]Data - DO NOT PRINT'!$B$3:$G$297,3,FALSE)</f>
        <v>Main Deck</v>
      </c>
      <c r="E15" s="253">
        <f>VLOOKUP($B15,'[4]Data - DO NOT PRINT'!$B$3:$G$297,4,FALSE)</f>
        <v>27.84</v>
      </c>
      <c r="F15" s="253">
        <f>VLOOKUP($B15,'[4]Data - DO NOT PRINT'!$B$3:$G$297,5,FALSE)</f>
        <v>71.41</v>
      </c>
      <c r="G15" s="254" t="str">
        <f>IF(VLOOKUP($B15,'[4]Data - DO NOT PRINT'!$B$3:$G$297,6,FALSE)=0,"",VLOOKUP($B15,'[4]Data - DO NOT PRINT'!$B$3:$G$297,6,FALSE))</f>
        <v/>
      </c>
      <c r="H15" s="246"/>
      <c r="I15" s="247"/>
      <c r="J15" s="246"/>
      <c r="K15" s="246"/>
      <c r="L15" s="246"/>
      <c r="M15" s="246"/>
      <c r="N15" s="246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</row>
    <row r="16" spans="1:78" s="249" customFormat="1" ht="15" customHeight="1">
      <c r="A16" s="250">
        <v>1.1340300000000001</v>
      </c>
      <c r="B16" s="251" t="s">
        <v>2514</v>
      </c>
      <c r="C16" s="252" t="str">
        <f>VLOOKUP($B16,'[4]Data - DO NOT PRINT'!$B$3:$G$297,2,FALSE)</f>
        <v>Electronic Equipment Room</v>
      </c>
      <c r="D16" s="253" t="str">
        <f>VLOOKUP($B16,'[4]Data - DO NOT PRINT'!$B$3:$G$297,3,FALSE)</f>
        <v>1st Platform</v>
      </c>
      <c r="E16" s="253">
        <f>VLOOKUP($B16,'[4]Data - DO NOT PRINT'!$B$3:$G$297,4,FALSE)</f>
        <v>2.63</v>
      </c>
      <c r="F16" s="253">
        <f>VLOOKUP($B16,'[4]Data - DO NOT PRINT'!$B$3:$G$297,5,FALSE)</f>
        <v>6.82</v>
      </c>
      <c r="G16" s="254" t="str">
        <f>IF(VLOOKUP($B16,'[4]Data - DO NOT PRINT'!$B$3:$G$297,6,FALSE)=0,"",VLOOKUP($B16,'[4]Data - DO NOT PRINT'!$B$3:$G$297,6,FALSE))</f>
        <v/>
      </c>
      <c r="H16" s="246"/>
      <c r="I16" s="247"/>
      <c r="J16" s="246"/>
      <c r="K16" s="246"/>
      <c r="L16" s="246"/>
      <c r="M16" s="246"/>
      <c r="N16" s="246"/>
      <c r="O16" s="248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8"/>
      <c r="AV16" s="248"/>
      <c r="AW16" s="248"/>
      <c r="AX16" s="248"/>
      <c r="AY16" s="248"/>
      <c r="AZ16" s="248"/>
      <c r="BA16" s="248"/>
      <c r="BB16" s="248"/>
      <c r="BC16" s="248"/>
      <c r="BD16" s="248"/>
      <c r="BE16" s="248"/>
      <c r="BF16" s="248"/>
      <c r="BG16" s="248"/>
      <c r="BH16" s="248"/>
      <c r="BI16" s="248"/>
      <c r="BJ16" s="248"/>
      <c r="BK16" s="248"/>
      <c r="BL16" s="248"/>
      <c r="BM16" s="248"/>
      <c r="BN16" s="248"/>
      <c r="BO16" s="248"/>
      <c r="BP16" s="248"/>
      <c r="BQ16" s="248"/>
      <c r="BR16" s="248"/>
      <c r="BS16" s="248"/>
      <c r="BT16" s="248"/>
      <c r="BU16" s="248"/>
      <c r="BV16" s="248"/>
      <c r="BW16" s="248"/>
      <c r="BX16" s="248"/>
      <c r="BY16" s="248"/>
      <c r="BZ16" s="248"/>
    </row>
    <row r="17" spans="1:78" s="248" customFormat="1" ht="15" customHeight="1" thickBot="1">
      <c r="A17" s="257">
        <v>1.1340300000000001</v>
      </c>
      <c r="B17" s="258" t="s">
        <v>2515</v>
      </c>
      <c r="C17" s="259" t="str">
        <f>VLOOKUP($B17,'[4]Data - DO NOT PRINT'!$B$3:$G$297,2,FALSE)</f>
        <v>Combat Systems Equipment Room 4</v>
      </c>
      <c r="D17" s="260" t="str">
        <f>VLOOKUP($B17,'[4]Data - DO NOT PRINT'!$B$3:$G$297,3,FALSE)</f>
        <v>2nd Platform</v>
      </c>
      <c r="E17" s="260">
        <f>VLOOKUP($B17,'[4]Data - DO NOT PRINT'!$B$3:$G$297,4,FALSE)</f>
        <v>15.45</v>
      </c>
      <c r="F17" s="260">
        <f>VLOOKUP($B17,'[4]Data - DO NOT PRINT'!$B$3:$G$297,5,FALSE)</f>
        <v>55.77</v>
      </c>
      <c r="G17" s="261" t="str">
        <f>IF(VLOOKUP($B17,'[4]Data - DO NOT PRINT'!$B$3:$G$297,6,FALSE)=0,"",VLOOKUP($B17,'[4]Data - DO NOT PRINT'!$B$3:$G$297,6,FALSE))</f>
        <v/>
      </c>
      <c r="H17" s="246"/>
      <c r="I17" s="247"/>
      <c r="J17" s="246"/>
      <c r="K17" s="246"/>
      <c r="L17" s="246"/>
      <c r="M17" s="246"/>
      <c r="N17" s="246"/>
    </row>
    <row r="18" spans="1:78" s="248" customFormat="1" ht="15" customHeight="1" thickBot="1">
      <c r="A18" s="262"/>
      <c r="B18" s="431" t="s">
        <v>2516</v>
      </c>
      <c r="C18" s="431"/>
      <c r="D18" s="432"/>
      <c r="E18" s="263">
        <f>SUBTOTAL(9,E9:E17)</f>
        <v>296.92799999999994</v>
      </c>
      <c r="F18" s="263">
        <f>SUBTOTAL(9,F9:F17)</f>
        <v>778.86199999999985</v>
      </c>
      <c r="G18" s="264"/>
      <c r="H18" s="246"/>
      <c r="I18" s="265"/>
      <c r="J18" s="266"/>
      <c r="K18" s="267"/>
      <c r="L18" s="268"/>
      <c r="M18" s="246"/>
      <c r="N18" s="246"/>
    </row>
    <row r="19" spans="1:78" s="248" customFormat="1" ht="15" customHeight="1">
      <c r="A19" s="269">
        <v>1.15001</v>
      </c>
      <c r="B19" s="270" t="s">
        <v>2517</v>
      </c>
      <c r="C19" s="271" t="str">
        <f>VLOOKUP($B19,'[4]Data - DO NOT PRINT'!$B$3:$G$297,2,FALSE)</f>
        <v>Interior Communications &amp; Gyrocompass Room No. 1</v>
      </c>
      <c r="D19" s="272" t="str">
        <f>VLOOKUP($B19,'[4]Data - DO NOT PRINT'!$B$3:$G$297,3,FALSE)</f>
        <v>2nd Platform</v>
      </c>
      <c r="E19" s="272">
        <f>VLOOKUP($B19,'[4]Data - DO NOT PRINT'!$B$3:$G$297,4,FALSE)</f>
        <v>15.39</v>
      </c>
      <c r="F19" s="272">
        <f>VLOOKUP($B19,'[4]Data - DO NOT PRINT'!$B$3:$G$297,5,FALSE)</f>
        <v>46.87</v>
      </c>
      <c r="G19" s="273" t="str">
        <f>IF(VLOOKUP($B19,'[4]Data - DO NOT PRINT'!$B$3:$G$297,6,FALSE)=0,"",VLOOKUP($B19,'[4]Data - DO NOT PRINT'!$B$3:$G$297,6,FALSE))</f>
        <v/>
      </c>
      <c r="H19" s="246"/>
      <c r="I19" s="247"/>
      <c r="J19" s="246"/>
      <c r="K19" s="246"/>
      <c r="L19" s="246"/>
      <c r="M19" s="246"/>
      <c r="N19" s="246"/>
    </row>
    <row r="20" spans="1:78" s="248" customFormat="1" ht="15" customHeight="1" thickBot="1">
      <c r="A20" s="274">
        <v>1.15001</v>
      </c>
      <c r="B20" s="258" t="s">
        <v>2518</v>
      </c>
      <c r="C20" s="259" t="str">
        <f>VLOOKUP($B20,'[4]Data - DO NOT PRINT'!$B$3:$G$297,2,FALSE)</f>
        <v>Gyrocompass Room No. 2</v>
      </c>
      <c r="D20" s="260" t="str">
        <f>VLOOKUP($B20,'[4]Data - DO NOT PRINT'!$B$3:$G$297,3,FALSE)</f>
        <v>2nd Platform</v>
      </c>
      <c r="E20" s="260">
        <f>VLOOKUP($B20,'[4]Data - DO NOT PRINT'!$B$3:$G$297,4,FALSE)</f>
        <v>10.23</v>
      </c>
      <c r="F20" s="260">
        <f>VLOOKUP($B20,'[4]Data - DO NOT PRINT'!$B$3:$G$297,5,FALSE)</f>
        <v>36.49</v>
      </c>
      <c r="G20" s="261" t="str">
        <f>IF(VLOOKUP($B20,'[4]Data - DO NOT PRINT'!$B$3:$G$297,6,FALSE)=0,"",VLOOKUP($B20,'[4]Data - DO NOT PRINT'!$B$3:$G$297,6,FALSE))</f>
        <v/>
      </c>
      <c r="H20" s="246"/>
      <c r="I20" s="247"/>
      <c r="J20" s="246"/>
      <c r="K20" s="246"/>
      <c r="L20" s="246"/>
      <c r="M20" s="246"/>
      <c r="N20" s="246"/>
    </row>
    <row r="21" spans="1:78" s="248" customFormat="1" ht="15" customHeight="1" thickBot="1">
      <c r="A21" s="262"/>
      <c r="B21" s="431" t="s">
        <v>2519</v>
      </c>
      <c r="C21" s="431"/>
      <c r="D21" s="432"/>
      <c r="E21" s="263">
        <f>SUBTOTAL(9,E19:E20)</f>
        <v>25.62</v>
      </c>
      <c r="F21" s="263">
        <f>SUBTOTAL(9,F19:F20)</f>
        <v>83.36</v>
      </c>
      <c r="G21" s="264"/>
      <c r="H21" s="246"/>
      <c r="I21" s="265"/>
      <c r="J21" s="266"/>
      <c r="K21" s="267"/>
      <c r="L21" s="268"/>
      <c r="M21" s="246"/>
      <c r="N21" s="246"/>
    </row>
    <row r="22" spans="1:78" s="248" customFormat="1" ht="15" customHeight="1">
      <c r="A22" s="269">
        <v>1.2</v>
      </c>
      <c r="B22" s="270" t="s">
        <v>1958</v>
      </c>
      <c r="C22" s="271" t="str">
        <f>VLOOKUP($B22,'[4]Data - DO NOT PRINT'!$B$3:$G$297,2,FALSE)</f>
        <v>ALEX Launcher Space</v>
      </c>
      <c r="D22" s="272" t="str">
        <f>VLOOKUP($C22,'[4]Data - DO NOT PRINT'!$C$3:$G$297,2,FALSE)</f>
        <v>02 Level</v>
      </c>
      <c r="E22" s="272">
        <f>VLOOKUP($C22,'[4]Data - DO NOT PRINT'!$C$3:$G$297,3,FALSE)</f>
        <v>63.67</v>
      </c>
      <c r="F22" s="272" t="str">
        <f>VLOOKUP($C22,'[4]Data - DO NOT PRINT'!$C$3:$G$297,4,FALSE)</f>
        <v>-</v>
      </c>
      <c r="G22" s="273" t="str">
        <f>IF(VLOOKUP($C22,'[4]Data - DO NOT PRINT'!$C$3:$G$297,5,FALSE)=0,"",VLOOKUP($C22,'[4]Data - DO NOT PRINT'!$C$3:$G$297,5,FALSE))</f>
        <v>Open to Weather</v>
      </c>
      <c r="H22" s="246"/>
      <c r="I22" s="247"/>
      <c r="J22" s="246"/>
      <c r="K22" s="246"/>
      <c r="L22" s="246"/>
      <c r="M22" s="246"/>
      <c r="N22" s="246"/>
    </row>
    <row r="23" spans="1:78" s="248" customFormat="1" ht="15" customHeight="1">
      <c r="A23" s="250">
        <v>1.2</v>
      </c>
      <c r="B23" s="251" t="s">
        <v>2520</v>
      </c>
      <c r="C23" s="252" t="str">
        <f>VLOOKUP($B23,'[4]Data - DO NOT PRINT'!$B$3:$G$297,2,FALSE)</f>
        <v>Interface Control Room (Modules 1 &amp; 2)</v>
      </c>
      <c r="D23" s="253" t="str">
        <f>VLOOKUP($B23,'[4]Data - DO NOT PRINT'!$B$3:$G$297,3,FALSE)</f>
        <v>02 Level</v>
      </c>
      <c r="E23" s="253">
        <f>VLOOKUP($B23,'[4]Data - DO NOT PRINT'!$B$3:$G$297,4,FALSE)</f>
        <v>4.7300000000000004</v>
      </c>
      <c r="F23" s="253">
        <f>VLOOKUP($B23,'[4]Data - DO NOT PRINT'!$B$3:$G$297,5,FALSE)</f>
        <v>11.44</v>
      </c>
      <c r="G23" s="254" t="str">
        <f>IF(VLOOKUP($B23,'[4]Data - DO NOT PRINT'!$B$3:$G$297,6,FALSE)=0,"",VLOOKUP($B23,'[4]Data - DO NOT PRINT'!$B$3:$G$297,6,FALSE))</f>
        <v/>
      </c>
      <c r="H23" s="246"/>
      <c r="I23" s="247"/>
      <c r="J23" s="246"/>
      <c r="K23" s="246"/>
      <c r="L23" s="246"/>
      <c r="M23" s="246"/>
      <c r="N23" s="246"/>
    </row>
    <row r="24" spans="1:78" s="248" customFormat="1" ht="15" customHeight="1">
      <c r="A24" s="250">
        <v>1.2</v>
      </c>
      <c r="B24" s="251" t="s">
        <v>2521</v>
      </c>
      <c r="C24" s="252" t="str">
        <f>VLOOKUP($B24,'[4]Data - DO NOT PRINT'!$B$3:$G$297,2,FALSE)</f>
        <v>Weapons Module No. 1</v>
      </c>
      <c r="D24" s="253" t="str">
        <f>VLOOKUP($B24,'[4]Data - DO NOT PRINT'!$B$3:$G$297,3,FALSE)</f>
        <v>02 Level</v>
      </c>
      <c r="E24" s="253">
        <f>VLOOKUP($B24,'[4]Data - DO NOT PRINT'!$B$3:$G$297,4,FALSE)</f>
        <v>24.34</v>
      </c>
      <c r="F24" s="253" t="str">
        <f>VLOOKUP($B24,'[4]Data - DO NOT PRINT'!$B$3:$G$297,5,FALSE)</f>
        <v>-</v>
      </c>
      <c r="G24" s="254" t="str">
        <f>IF(VLOOKUP($B24,'[4]Data - DO NOT PRINT'!$B$3:$G$297,6,FALSE)=0,"",VLOOKUP($B24,'[4]Data - DO NOT PRINT'!$B$3:$G$297,6,FALSE))</f>
        <v>Open to Weather</v>
      </c>
      <c r="H24" s="246"/>
      <c r="I24" s="247"/>
      <c r="J24" s="246"/>
      <c r="K24" s="246"/>
      <c r="L24" s="246"/>
      <c r="M24" s="246"/>
      <c r="N24" s="246"/>
    </row>
    <row r="25" spans="1:78" s="248" customFormat="1" ht="15" customHeight="1">
      <c r="A25" s="250">
        <v>1.2</v>
      </c>
      <c r="B25" s="251" t="s">
        <v>2522</v>
      </c>
      <c r="C25" s="252" t="str">
        <f>VLOOKUP($B25,'[4]Data - DO NOT PRINT'!$B$3:$G$297,2,FALSE)</f>
        <v>Weapons Module No. 2</v>
      </c>
      <c r="D25" s="253" t="str">
        <f>VLOOKUP($B25,'[4]Data - DO NOT PRINT'!$B$3:$G$297,3,FALSE)</f>
        <v>02 Level</v>
      </c>
      <c r="E25" s="253">
        <f>VLOOKUP($B25,'[4]Data - DO NOT PRINT'!$B$3:$G$297,4,FALSE)</f>
        <v>24.47</v>
      </c>
      <c r="F25" s="253" t="str">
        <f>VLOOKUP($B25,'[4]Data - DO NOT PRINT'!$B$3:$G$297,5,FALSE)</f>
        <v>-</v>
      </c>
      <c r="G25" s="254" t="str">
        <f>IF(VLOOKUP($B25,'[4]Data - DO NOT PRINT'!$B$3:$G$297,6,FALSE)=0,"",VLOOKUP($B25,'[4]Data - DO NOT PRINT'!$B$3:$G$297,6,FALSE))</f>
        <v>Open to Weather</v>
      </c>
      <c r="H25" s="246"/>
      <c r="I25" s="247"/>
      <c r="J25" s="246"/>
      <c r="K25" s="246"/>
      <c r="L25" s="246"/>
      <c r="M25" s="246"/>
      <c r="N25" s="246"/>
    </row>
    <row r="26" spans="1:78" s="248" customFormat="1" ht="15" customHeight="1" thickBot="1">
      <c r="A26" s="274">
        <v>1.2</v>
      </c>
      <c r="B26" s="258" t="s">
        <v>2523</v>
      </c>
      <c r="C26" s="259" t="str">
        <f>VLOOKUP($B26,'[4]Data - DO NOT PRINT'!$B$3:$G$297,2,FALSE)</f>
        <v>Weapons Module No. 3</v>
      </c>
      <c r="D26" s="260" t="str">
        <f>VLOOKUP($B26,'[4]Data - DO NOT PRINT'!$B$3:$G$297,3,FALSE)</f>
        <v>02 Level</v>
      </c>
      <c r="E26" s="260">
        <f>VLOOKUP($B26,'[4]Data - DO NOT PRINT'!$B$3:$G$297,4,FALSE)</f>
        <v>23.29</v>
      </c>
      <c r="F26" s="260" t="str">
        <f>VLOOKUP($B26,'[4]Data - DO NOT PRINT'!$B$3:$G$297,5,FALSE)</f>
        <v>-</v>
      </c>
      <c r="G26" s="261" t="str">
        <f>IF(VLOOKUP($B26,'[4]Data - DO NOT PRINT'!$B$3:$G$297,6,FALSE)=0,"",VLOOKUP($B26,'[4]Data - DO NOT PRINT'!$B$3:$G$297,6,FALSE))</f>
        <v>Open to Weather</v>
      </c>
      <c r="H26" s="246"/>
      <c r="I26" s="247"/>
      <c r="J26" s="246"/>
      <c r="K26" s="246"/>
      <c r="L26" s="246"/>
      <c r="M26" s="246"/>
      <c r="N26" s="246"/>
    </row>
    <row r="27" spans="1:78" s="248" customFormat="1" ht="15" customHeight="1" thickBot="1">
      <c r="A27" s="262"/>
      <c r="B27" s="431" t="s">
        <v>2524</v>
      </c>
      <c r="C27" s="431"/>
      <c r="D27" s="432"/>
      <c r="E27" s="263">
        <f>SUBTOTAL(9,E22:E26)</f>
        <v>140.5</v>
      </c>
      <c r="F27" s="263">
        <f>SUBTOTAL(9,F22:F26)</f>
        <v>11.44</v>
      </c>
      <c r="G27" s="264"/>
      <c r="H27" s="246"/>
      <c r="I27" s="265"/>
      <c r="J27" s="266"/>
      <c r="K27" s="267"/>
      <c r="L27" s="268"/>
      <c r="M27" s="246"/>
      <c r="N27" s="246"/>
    </row>
    <row r="28" spans="1:78" s="249" customFormat="1" ht="15" customHeight="1" thickBot="1">
      <c r="A28" s="275">
        <v>1.214</v>
      </c>
      <c r="B28" s="276" t="s">
        <v>2525</v>
      </c>
      <c r="C28" s="277" t="str">
        <f>VLOOKUP($B28,'[4]Data - DO NOT PRINT'!$B$3:$G$297,2,FALSE)</f>
        <v>57 mm Gun Ready Service Room &amp; Magazine</v>
      </c>
      <c r="D28" s="278" t="str">
        <f>VLOOKUP($B28,'[4]Data - DO NOT PRINT'!$B$3:$G$297,3,FALSE)</f>
        <v>1st Platform</v>
      </c>
      <c r="E28" s="278">
        <f>VLOOKUP($B28,'[4]Data - DO NOT PRINT'!$B$3:$G$297,4,FALSE)</f>
        <v>27.6</v>
      </c>
      <c r="F28" s="278">
        <f>VLOOKUP($B28,'[4]Data - DO NOT PRINT'!$B$3:$G$297,5,FALSE)</f>
        <v>93.73</v>
      </c>
      <c r="G28" s="279" t="str">
        <f>IF(VLOOKUP($B28,'[4]Data - DO NOT PRINT'!$B$3:$G$297,6,FALSE)=0,"",VLOOKUP($B28,'[4]Data - DO NOT PRINT'!$B$3:$G$297,6,FALSE))</f>
        <v/>
      </c>
      <c r="H28" s="246"/>
      <c r="I28" s="247"/>
      <c r="J28" s="246"/>
      <c r="K28" s="246"/>
      <c r="L28" s="246"/>
      <c r="M28" s="246"/>
      <c r="N28" s="246"/>
      <c r="O28" s="248"/>
      <c r="P28" s="248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8"/>
      <c r="AV28" s="248"/>
      <c r="AW28" s="248"/>
      <c r="AX28" s="248"/>
      <c r="AY28" s="248"/>
      <c r="AZ28" s="248"/>
      <c r="BA28" s="248"/>
      <c r="BB28" s="248"/>
      <c r="BC28" s="248"/>
      <c r="BD28" s="248"/>
      <c r="BE28" s="248"/>
      <c r="BF28" s="248"/>
      <c r="BG28" s="248"/>
      <c r="BH28" s="248"/>
      <c r="BI28" s="248"/>
      <c r="BJ28" s="248"/>
      <c r="BK28" s="248"/>
      <c r="BL28" s="248"/>
      <c r="BM28" s="248"/>
      <c r="BN28" s="248"/>
      <c r="BO28" s="248"/>
      <c r="BP28" s="248"/>
      <c r="BQ28" s="248"/>
      <c r="BR28" s="248"/>
      <c r="BS28" s="248"/>
      <c r="BT28" s="248"/>
      <c r="BU28" s="248"/>
      <c r="BV28" s="248"/>
      <c r="BW28" s="248"/>
      <c r="BX28" s="248"/>
      <c r="BY28" s="248"/>
      <c r="BZ28" s="248"/>
    </row>
    <row r="29" spans="1:78" s="248" customFormat="1" ht="15" customHeight="1" thickBot="1">
      <c r="A29" s="262"/>
      <c r="B29" s="431" t="s">
        <v>2526</v>
      </c>
      <c r="C29" s="431"/>
      <c r="D29" s="432"/>
      <c r="E29" s="263">
        <f>SUBTOTAL(9,E28)</f>
        <v>27.6</v>
      </c>
      <c r="F29" s="263">
        <f>SUBTOTAL(9,F28)</f>
        <v>93.73</v>
      </c>
      <c r="G29" s="264"/>
      <c r="H29" s="246"/>
      <c r="I29" s="265"/>
      <c r="J29" s="266"/>
      <c r="K29" s="267"/>
      <c r="L29" s="268"/>
      <c r="M29" s="246"/>
      <c r="N29" s="246"/>
    </row>
    <row r="30" spans="1:78" s="248" customFormat="1" ht="15" customHeight="1" thickBot="1">
      <c r="A30" s="275">
        <v>1.3212029999999999</v>
      </c>
      <c r="B30" s="276" t="s">
        <v>2527</v>
      </c>
      <c r="C30" s="277" t="str">
        <f>VLOOKUP($B30,'[4]Data - DO NOT PRINT'!$B$3:$G$297,2,FALSE)</f>
        <v>Helicopter Control Station</v>
      </c>
      <c r="D30" s="278" t="str">
        <f>VLOOKUP($B30,'[4]Data - DO NOT PRINT'!$B$3:$G$297,3,FALSE)</f>
        <v>01 Level</v>
      </c>
      <c r="E30" s="278">
        <f>VLOOKUP($B30,'[4]Data - DO NOT PRINT'!$B$3:$G$297,4,FALSE)</f>
        <v>18.739999999999998</v>
      </c>
      <c r="F30" s="278">
        <f>VLOOKUP($B30,'[4]Data - DO NOT PRINT'!$B$3:$G$297,5,FALSE)</f>
        <v>48.78</v>
      </c>
      <c r="G30" s="279" t="str">
        <f>IF(VLOOKUP($B30,'[4]Data - DO NOT PRINT'!$B$3:$G$297,6,FALSE)=0,"",VLOOKUP($B30,'[4]Data - DO NOT PRINT'!$B$3:$G$297,6,FALSE))</f>
        <v/>
      </c>
      <c r="H30" s="246"/>
      <c r="I30" s="247"/>
      <c r="J30" s="246"/>
      <c r="K30" s="246"/>
      <c r="L30" s="246"/>
      <c r="M30" s="246"/>
      <c r="N30" s="246"/>
    </row>
    <row r="31" spans="1:78" s="248" customFormat="1" ht="15" customHeight="1" thickBot="1">
      <c r="A31" s="262"/>
      <c r="B31" s="431" t="s">
        <v>2528</v>
      </c>
      <c r="C31" s="431"/>
      <c r="D31" s="432"/>
      <c r="E31" s="263">
        <f>SUBTOTAL(9,E30)</f>
        <v>18.739999999999998</v>
      </c>
      <c r="F31" s="263">
        <f>SUBTOTAL(9,F30)</f>
        <v>48.78</v>
      </c>
      <c r="G31" s="264"/>
      <c r="H31" s="246"/>
      <c r="I31" s="265"/>
      <c r="J31" s="266"/>
      <c r="K31" s="267"/>
      <c r="L31" s="268"/>
      <c r="M31" s="246"/>
      <c r="N31" s="246"/>
    </row>
    <row r="32" spans="1:78" s="248" customFormat="1" ht="15" customHeight="1" thickBot="1">
      <c r="A32" s="275">
        <v>1.34002</v>
      </c>
      <c r="B32" s="276" t="s">
        <v>2529</v>
      </c>
      <c r="C32" s="277" t="str">
        <f>VLOOKUP($B32,'[4]Data - DO NOT PRINT'!$B$3:$G$297,2,FALSE)</f>
        <v>Airborne Mission Zone</v>
      </c>
      <c r="D32" s="278" t="str">
        <f>VLOOKUP($B32,'[4]Data - DO NOT PRINT'!$B$3:$G$297,3,FALSE)</f>
        <v>Main Deck</v>
      </c>
      <c r="E32" s="278">
        <f>VLOOKUP($B32,'[4]Data - DO NOT PRINT'!$B$3:$G$297,4,FALSE)</f>
        <v>384.3</v>
      </c>
      <c r="F32" s="278">
        <f>VLOOKUP($B32,'[4]Data - DO NOT PRINT'!$B$3:$G$297,5,FALSE)</f>
        <v>2115.42</v>
      </c>
      <c r="G32" s="279" t="str">
        <f>IF(VLOOKUP($B32,'[4]Data - DO NOT PRINT'!$B$3:$G$297,6,FALSE)=0,"",VLOOKUP($B32,'[4]Data - DO NOT PRINT'!$B$3:$G$297,6,FALSE))</f>
        <v>Hangar; 01 Level</v>
      </c>
      <c r="H32" s="246"/>
      <c r="I32" s="247"/>
      <c r="J32" s="246"/>
      <c r="K32" s="246"/>
      <c r="L32" s="246"/>
      <c r="M32" s="246"/>
      <c r="N32" s="246"/>
    </row>
    <row r="33" spans="1:14" s="248" customFormat="1" ht="15" customHeight="1" thickBot="1">
      <c r="A33" s="262"/>
      <c r="B33" s="431" t="s">
        <v>2530</v>
      </c>
      <c r="C33" s="431"/>
      <c r="D33" s="432"/>
      <c r="E33" s="263">
        <f>SUBTOTAL(9,E32)</f>
        <v>384.3</v>
      </c>
      <c r="F33" s="263">
        <f>SUBTOTAL(9,F32)</f>
        <v>2115.42</v>
      </c>
      <c r="G33" s="264"/>
      <c r="H33" s="246"/>
      <c r="I33" s="265"/>
      <c r="J33" s="266"/>
      <c r="K33" s="267"/>
      <c r="L33" s="268"/>
      <c r="M33" s="246"/>
      <c r="N33" s="246"/>
    </row>
    <row r="34" spans="1:14" s="248" customFormat="1" ht="15" customHeight="1" thickBot="1">
      <c r="A34" s="275" t="s">
        <v>2531</v>
      </c>
      <c r="B34" s="276" t="s">
        <v>2532</v>
      </c>
      <c r="C34" s="277" t="str">
        <f>VLOOKUP($B34,'[4]Data - DO NOT PRINT'!$B$3:$G$297,2,FALSE)</f>
        <v>Helicopter/UAV Office</v>
      </c>
      <c r="D34" s="278" t="str">
        <f>VLOOKUP($B34,'[4]Data - DO NOT PRINT'!$B$3:$G$297,3,FALSE)</f>
        <v>01 Level</v>
      </c>
      <c r="E34" s="278">
        <f>VLOOKUP($B34,'[4]Data - DO NOT PRINT'!$B$3:$G$297,4,FALSE)</f>
        <v>21.27</v>
      </c>
      <c r="F34" s="278">
        <f>VLOOKUP($B34,'[4]Data - DO NOT PRINT'!$B$3:$G$297,5,FALSE)</f>
        <v>63.2</v>
      </c>
      <c r="G34" s="279" t="str">
        <f>IF(VLOOKUP($B34,'[4]Data - DO NOT PRINT'!$B$3:$G$297,6,FALSE)=0,"",VLOOKUP($B34,'[4]Data - DO NOT PRINT'!$B$3:$G$297,6,FALSE))</f>
        <v/>
      </c>
      <c r="H34" s="246"/>
      <c r="I34" s="247"/>
      <c r="J34" s="246"/>
      <c r="K34" s="246"/>
      <c r="L34" s="246"/>
      <c r="M34" s="246"/>
      <c r="N34" s="246"/>
    </row>
    <row r="35" spans="1:14" s="248" customFormat="1" ht="15" customHeight="1" thickBot="1">
      <c r="A35" s="262"/>
      <c r="B35" s="431" t="s">
        <v>2533</v>
      </c>
      <c r="C35" s="431"/>
      <c r="D35" s="432"/>
      <c r="E35" s="263">
        <f>SUBTOTAL(9,E34)</f>
        <v>21.27</v>
      </c>
      <c r="F35" s="263">
        <f>SUBTOTAL(9,F34)</f>
        <v>63.2</v>
      </c>
      <c r="G35" s="264"/>
      <c r="H35" s="246"/>
      <c r="I35" s="265"/>
      <c r="J35" s="266"/>
      <c r="K35" s="267"/>
      <c r="L35" s="268"/>
      <c r="M35" s="246"/>
      <c r="N35" s="246"/>
    </row>
    <row r="36" spans="1:14" s="248" customFormat="1" ht="15" customHeight="1" thickBot="1">
      <c r="A36" s="275">
        <v>1.36</v>
      </c>
      <c r="B36" s="276" t="s">
        <v>2534</v>
      </c>
      <c r="C36" s="277" t="str">
        <f>VLOOKUP($B36,'[4]Data - DO NOT PRINT'!$B$3:$G$297,2,FALSE)</f>
        <v>Aviation Workshop</v>
      </c>
      <c r="D36" s="278" t="str">
        <f>VLOOKUP($B36,'[4]Data - DO NOT PRINT'!$B$3:$G$297,3,FALSE)</f>
        <v>Main Deck</v>
      </c>
      <c r="E36" s="278">
        <f>VLOOKUP($B36,'[4]Data - DO NOT PRINT'!$B$3:$G$297,4,FALSE)</f>
        <v>11.4</v>
      </c>
      <c r="F36" s="278">
        <f>VLOOKUP($B36,'[4]Data - DO NOT PRINT'!$B$3:$G$297,5,FALSE)</f>
        <v>31.92</v>
      </c>
      <c r="G36" s="279" t="str">
        <f>IF(VLOOKUP($B36,'[4]Data - DO NOT PRINT'!$B$3:$G$297,6,FALSE)=0,"",VLOOKUP($B36,'[4]Data - DO NOT PRINT'!$B$3:$G$297,6,FALSE))</f>
        <v/>
      </c>
      <c r="H36" s="246"/>
      <c r="I36" s="247"/>
      <c r="J36" s="246"/>
      <c r="K36" s="246"/>
      <c r="L36" s="246"/>
      <c r="M36" s="246"/>
      <c r="N36" s="246"/>
    </row>
    <row r="37" spans="1:14" s="248" customFormat="1" ht="15" customHeight="1" thickBot="1">
      <c r="A37" s="262"/>
      <c r="B37" s="431" t="s">
        <v>2535</v>
      </c>
      <c r="C37" s="431"/>
      <c r="D37" s="432"/>
      <c r="E37" s="263">
        <f>SUBTOTAL(9,E36)</f>
        <v>11.4</v>
      </c>
      <c r="F37" s="263">
        <f>SUBTOTAL(9,F36)</f>
        <v>31.92</v>
      </c>
      <c r="G37" s="264"/>
      <c r="H37" s="246"/>
      <c r="I37" s="265"/>
      <c r="J37" s="266"/>
      <c r="K37" s="267"/>
      <c r="L37" s="268"/>
      <c r="M37" s="246"/>
      <c r="N37" s="246"/>
    </row>
    <row r="38" spans="1:14" s="248" customFormat="1" ht="15" customHeight="1">
      <c r="A38" s="269">
        <v>1.37</v>
      </c>
      <c r="B38" s="270" t="s">
        <v>2536</v>
      </c>
      <c r="C38" s="271" t="str">
        <f>VLOOKUP($B38,'[4]Data - DO NOT PRINT'!$B$3:$G$297,2,FALSE)</f>
        <v>Mission Ordnance Magazine No.1</v>
      </c>
      <c r="D38" s="272" t="str">
        <f>VLOOKUP($B38,'[4]Data - DO NOT PRINT'!$B$3:$G$297,3,FALSE)</f>
        <v>Main Deck</v>
      </c>
      <c r="E38" s="272">
        <f>VLOOKUP($B38,'[4]Data - DO NOT PRINT'!$B$3:$G$297,4,FALSE)</f>
        <v>26.35</v>
      </c>
      <c r="F38" s="272">
        <f>VLOOKUP($B38,'[4]Data - DO NOT PRINT'!$B$3:$G$297,5,FALSE)</f>
        <v>73.78</v>
      </c>
      <c r="G38" s="273" t="str">
        <f>IF(VLOOKUP($B38,'[4]Data - DO NOT PRINT'!$B$3:$G$297,6,FALSE)=0,"",VLOOKUP($B38,'[4]Data - DO NOT PRINT'!$B$3:$G$297,6,FALSE))</f>
        <v/>
      </c>
      <c r="H38" s="246"/>
      <c r="I38" s="247"/>
      <c r="J38" s="246"/>
      <c r="K38" s="246"/>
      <c r="L38" s="246"/>
      <c r="M38" s="246"/>
      <c r="N38" s="246"/>
    </row>
    <row r="39" spans="1:14" s="248" customFormat="1" ht="15" customHeight="1">
      <c r="A39" s="250">
        <v>1.37</v>
      </c>
      <c r="B39" s="251" t="s">
        <v>2537</v>
      </c>
      <c r="C39" s="252" t="str">
        <f>VLOOKUP($B39,'[4]Data - DO NOT PRINT'!$B$3:$G$297,2,FALSE)</f>
        <v>Mission Ordnance Magazine No.2</v>
      </c>
      <c r="D39" s="253" t="str">
        <f>VLOOKUP($B39,'[4]Data - DO NOT PRINT'!$B$3:$G$297,3,FALSE)</f>
        <v>Main Deck</v>
      </c>
      <c r="E39" s="253">
        <f>VLOOKUP($B39,'[4]Data - DO NOT PRINT'!$B$3:$G$297,4,FALSE)</f>
        <v>11.58</v>
      </c>
      <c r="F39" s="253">
        <f>VLOOKUP($B39,'[4]Data - DO NOT PRINT'!$B$3:$G$297,5,FALSE)</f>
        <v>32.42</v>
      </c>
      <c r="G39" s="254" t="str">
        <f>IF(VLOOKUP($B39,'[4]Data - DO NOT PRINT'!$B$3:$G$297,6,FALSE)=0,"",VLOOKUP($B39,'[4]Data - DO NOT PRINT'!$B$3:$G$297,6,FALSE))</f>
        <v/>
      </c>
      <c r="H39" s="246"/>
      <c r="I39" s="247"/>
      <c r="J39" s="246"/>
      <c r="K39" s="246"/>
      <c r="L39" s="246"/>
      <c r="M39" s="246"/>
      <c r="N39" s="246"/>
    </row>
    <row r="40" spans="1:14" s="248" customFormat="1" ht="15" customHeight="1" thickBot="1">
      <c r="A40" s="257">
        <v>1.37</v>
      </c>
      <c r="B40" s="258" t="s">
        <v>2538</v>
      </c>
      <c r="C40" s="259" t="str">
        <f>VLOOKUP($B40,'[4]Data - DO NOT PRINT'!$B$3:$G$297,2,FALSE)</f>
        <v>AECM Build-Up Area &amp; Magazine</v>
      </c>
      <c r="D40" s="260" t="str">
        <f>VLOOKUP($B40,'[4]Data - DO NOT PRINT'!$B$3:$G$297,3,FALSE)</f>
        <v>Main Deck</v>
      </c>
      <c r="E40" s="260">
        <f>VLOOKUP($B40,'[4]Data - DO NOT PRINT'!$B$3:$G$297,4,FALSE)</f>
        <v>8.2899999999999991</v>
      </c>
      <c r="F40" s="260">
        <f>VLOOKUP($B40,'[4]Data - DO NOT PRINT'!$B$3:$G$297,5,FALSE)</f>
        <v>20.69</v>
      </c>
      <c r="G40" s="261" t="str">
        <f>IF(VLOOKUP($B40,'[4]Data - DO NOT PRINT'!$B$3:$G$297,6,FALSE)=0,"",VLOOKUP($B40,'[4]Data - DO NOT PRINT'!$B$3:$G$297,6,FALSE))</f>
        <v/>
      </c>
      <c r="H40" s="246"/>
      <c r="I40" s="247"/>
      <c r="J40" s="246"/>
      <c r="K40" s="246"/>
      <c r="L40" s="246"/>
      <c r="M40" s="246"/>
      <c r="N40" s="246"/>
    </row>
    <row r="41" spans="1:14" s="248" customFormat="1" ht="15" customHeight="1" thickBot="1">
      <c r="A41" s="262"/>
      <c r="B41" s="431" t="s">
        <v>2539</v>
      </c>
      <c r="C41" s="431"/>
      <c r="D41" s="432"/>
      <c r="E41" s="263">
        <f>SUBTOTAL(9,E38:E40)</f>
        <v>46.22</v>
      </c>
      <c r="F41" s="263">
        <f>SUBTOTAL(9,F38:F40)</f>
        <v>126.89</v>
      </c>
      <c r="G41" s="264"/>
      <c r="H41" s="246"/>
      <c r="I41" s="265"/>
      <c r="J41" s="266"/>
      <c r="K41" s="267"/>
      <c r="L41" s="268"/>
      <c r="M41" s="246"/>
      <c r="N41" s="246"/>
    </row>
    <row r="42" spans="1:14" s="248" customFormat="1" ht="15" customHeight="1">
      <c r="A42" s="269">
        <v>1.3813029999999999</v>
      </c>
      <c r="B42" s="270" t="s">
        <v>2540</v>
      </c>
      <c r="C42" s="271" t="str">
        <f>VLOOKUP($B42,'[4]Data - DO NOT PRINT'!$B$3:$G$297,2,FALSE)</f>
        <v>JP-5 Stowage Tank</v>
      </c>
      <c r="D42" s="272" t="str">
        <f>VLOOKUP($B42,'[4]Data - DO NOT PRINT'!$B$3:$G$297,3,FALSE)</f>
        <v>Hold</v>
      </c>
      <c r="E42" s="272">
        <f>VLOOKUP($B42,'[4]Data - DO NOT PRINT'!$B$3:$G$297,4,FALSE)</f>
        <v>0</v>
      </c>
      <c r="F42" s="272">
        <f>VLOOKUP($B42,'[4]Data - DO NOT PRINT'!$B$3:$G$297,5,FALSE)</f>
        <v>37.69</v>
      </c>
      <c r="G42" s="273" t="str">
        <f>IF(VLOOKUP($B42,'[4]Data - DO NOT PRINT'!$B$3:$G$297,6,FALSE)=0,"",VLOOKUP($B42,'[4]Data - DO NOT PRINT'!$B$3:$G$297,6,FALSE))</f>
        <v/>
      </c>
      <c r="H42" s="246"/>
      <c r="I42" s="247"/>
      <c r="J42" s="246"/>
      <c r="K42" s="246"/>
      <c r="L42" s="246"/>
      <c r="M42" s="246"/>
      <c r="N42" s="246"/>
    </row>
    <row r="43" spans="1:14" s="248" customFormat="1" ht="15" customHeight="1">
      <c r="A43" s="250">
        <v>1.3813029999999999</v>
      </c>
      <c r="B43" s="251" t="s">
        <v>2541</v>
      </c>
      <c r="C43" s="252" t="str">
        <f>VLOOKUP($B43,'[4]Data - DO NOT PRINT'!$B$3:$G$297,2,FALSE)</f>
        <v>JP-5 Stowage Tank</v>
      </c>
      <c r="D43" s="253" t="str">
        <f>VLOOKUP($B43,'[4]Data - DO NOT PRINT'!$B$3:$G$297,3,FALSE)</f>
        <v>Hold</v>
      </c>
      <c r="E43" s="253">
        <f>VLOOKUP($B43,'[4]Data - DO NOT PRINT'!$B$3:$G$297,4,FALSE)</f>
        <v>0</v>
      </c>
      <c r="F43" s="253">
        <f>VLOOKUP($B43,'[4]Data - DO NOT PRINT'!$B$3:$G$297,5,FALSE)</f>
        <v>37.69</v>
      </c>
      <c r="G43" s="254" t="str">
        <f>IF(VLOOKUP($B43,'[4]Data - DO NOT PRINT'!$B$3:$G$297,6,FALSE)=0,"",VLOOKUP($B43,'[4]Data - DO NOT PRINT'!$B$3:$G$297,6,FALSE))</f>
        <v/>
      </c>
      <c r="H43" s="246"/>
      <c r="I43" s="247"/>
      <c r="J43" s="246"/>
      <c r="K43" s="246"/>
      <c r="L43" s="246"/>
      <c r="M43" s="246"/>
      <c r="N43" s="246"/>
    </row>
    <row r="44" spans="1:14" s="248" customFormat="1" ht="15" customHeight="1">
      <c r="A44" s="250">
        <v>1.3813059999999999</v>
      </c>
      <c r="B44" s="251" t="s">
        <v>2542</v>
      </c>
      <c r="C44" s="252" t="str">
        <f>VLOOKUP($B44,'[4]Data - DO NOT PRINT'!$B$3:$G$297,2,FALSE)</f>
        <v>JP-5 Service Tank</v>
      </c>
      <c r="D44" s="253" t="str">
        <f>VLOOKUP($B44,'[4]Data - DO NOT PRINT'!$B$3:$G$297,3,FALSE)</f>
        <v>Tank Top</v>
      </c>
      <c r="E44" s="253">
        <f>VLOOKUP($B44,'[4]Data - DO NOT PRINT'!$B$3:$G$297,4,FALSE)</f>
        <v>0</v>
      </c>
      <c r="F44" s="253">
        <f>VLOOKUP($B44,'[4]Data - DO NOT PRINT'!$B$3:$G$297,5,FALSE)</f>
        <v>7.24</v>
      </c>
      <c r="G44" s="254" t="str">
        <f>IF(VLOOKUP($B44,'[4]Data - DO NOT PRINT'!$B$3:$G$297,6,FALSE)=0,"",VLOOKUP($B44,'[4]Data - DO NOT PRINT'!$B$3:$G$297,6,FALSE))</f>
        <v/>
      </c>
      <c r="H44" s="246"/>
      <c r="I44" s="247"/>
      <c r="J44" s="246"/>
      <c r="K44" s="246"/>
      <c r="L44" s="246"/>
      <c r="M44" s="246"/>
      <c r="N44" s="246"/>
    </row>
    <row r="45" spans="1:14" s="248" customFormat="1" ht="15" customHeight="1" thickBot="1">
      <c r="A45" s="257">
        <v>1.3813059999999999</v>
      </c>
      <c r="B45" s="258" t="s">
        <v>2543</v>
      </c>
      <c r="C45" s="259" t="str">
        <f>VLOOKUP($B45,'[4]Data - DO NOT PRINT'!$B$3:$G$297,2,FALSE)</f>
        <v>JP-5 Service Tank</v>
      </c>
      <c r="D45" s="260" t="str">
        <f>VLOOKUP($B45,'[4]Data - DO NOT PRINT'!$B$3:$G$297,3,FALSE)</f>
        <v>Tank Top</v>
      </c>
      <c r="E45" s="260">
        <f>VLOOKUP($B45,'[4]Data - DO NOT PRINT'!$B$3:$G$297,4,FALSE)</f>
        <v>0</v>
      </c>
      <c r="F45" s="260">
        <f>VLOOKUP($B45,'[4]Data - DO NOT PRINT'!$B$3:$G$297,5,FALSE)</f>
        <v>8.6999999999999993</v>
      </c>
      <c r="G45" s="261"/>
      <c r="H45" s="246"/>
      <c r="I45" s="247"/>
      <c r="J45" s="246"/>
      <c r="K45" s="246"/>
      <c r="L45" s="246"/>
      <c r="M45" s="246"/>
      <c r="N45" s="246"/>
    </row>
    <row r="46" spans="1:14" s="248" customFormat="1" ht="15" customHeight="1" thickBot="1">
      <c r="A46" s="262"/>
      <c r="B46" s="431" t="s">
        <v>2544</v>
      </c>
      <c r="C46" s="431"/>
      <c r="D46" s="432"/>
      <c r="E46" s="263">
        <f>SUBTOTAL(9,E42:E45)</f>
        <v>0</v>
      </c>
      <c r="F46" s="263">
        <f>SUBTOTAL(9,F42:F45)</f>
        <v>91.32</v>
      </c>
      <c r="G46" s="264"/>
      <c r="H46" s="246"/>
      <c r="I46" s="265"/>
      <c r="J46" s="266"/>
      <c r="K46" s="267"/>
      <c r="L46" s="268"/>
      <c r="M46" s="246"/>
      <c r="N46" s="246"/>
    </row>
    <row r="47" spans="1:14" s="248" customFormat="1" ht="15" customHeight="1" thickBot="1">
      <c r="A47" s="275">
        <v>1.6140099999999999</v>
      </c>
      <c r="B47" s="276" t="s">
        <v>2545</v>
      </c>
      <c r="C47" s="277" t="str">
        <f>VLOOKUP($B47,'[4]Data - DO NOT PRINT'!$B$3:$G$297,2,FALSE)</f>
        <v>Electronics Room</v>
      </c>
      <c r="D47" s="278" t="str">
        <f>VLOOKUP($B47,'[4]Data - DO NOT PRINT'!$B$3:$G$297,3,FALSE)</f>
        <v>1st Platform</v>
      </c>
      <c r="E47" s="278">
        <f>VLOOKUP($B47,'[4]Data - DO NOT PRINT'!$B$3:$G$297,4,FALSE)</f>
        <v>8.23</v>
      </c>
      <c r="F47" s="278">
        <f>VLOOKUP($B47,'[4]Data - DO NOT PRINT'!$B$3:$G$297,5,FALSE)</f>
        <v>29.61</v>
      </c>
      <c r="G47" s="279" t="str">
        <f>IF(VLOOKUP($B47,'[4]Data - DO NOT PRINT'!$B$3:$G$297,6,FALSE)=0,"",VLOOKUP($B47,'[4]Data - DO NOT PRINT'!$B$3:$G$297,6,FALSE))</f>
        <v/>
      </c>
      <c r="H47" s="246"/>
      <c r="I47" s="247"/>
      <c r="J47" s="246"/>
      <c r="K47" s="246"/>
      <c r="L47" s="246"/>
      <c r="M47" s="246"/>
      <c r="N47" s="246"/>
    </row>
    <row r="48" spans="1:14" s="248" customFormat="1" ht="15" customHeight="1" thickBot="1">
      <c r="A48" s="262"/>
      <c r="B48" s="431" t="s">
        <v>2546</v>
      </c>
      <c r="C48" s="431"/>
      <c r="D48" s="432"/>
      <c r="E48" s="263">
        <f>SUBTOTAL(9,E47)</f>
        <v>8.23</v>
      </c>
      <c r="F48" s="263">
        <f>SUBTOTAL(9,F47)</f>
        <v>29.61</v>
      </c>
      <c r="G48" s="264"/>
      <c r="H48" s="246"/>
      <c r="I48" s="265"/>
      <c r="J48" s="266"/>
      <c r="K48" s="267"/>
      <c r="L48" s="268"/>
      <c r="M48" s="246"/>
      <c r="N48" s="246"/>
    </row>
    <row r="49" spans="1:14" s="248" customFormat="1" ht="15" customHeight="1" thickBot="1">
      <c r="A49" s="275">
        <v>1.9100200000000001</v>
      </c>
      <c r="B49" s="276" t="s">
        <v>2547</v>
      </c>
      <c r="C49" s="277" t="str">
        <f>VLOOKUP($B49,'[4]Data - DO NOT PRINT'!$B$3:$G$297,2,FALSE)</f>
        <v>Small Arms Magazine</v>
      </c>
      <c r="D49" s="278" t="str">
        <f>VLOOKUP($B49,'[4]Data - DO NOT PRINT'!$B$3:$G$297,3,FALSE)</f>
        <v>1st Platform</v>
      </c>
      <c r="E49" s="278">
        <f>VLOOKUP($B49,'[4]Data - DO NOT PRINT'!$B$3:$G$297,4,FALSE)</f>
        <v>5.49</v>
      </c>
      <c r="F49" s="278">
        <f>VLOOKUP($B49,'[4]Data - DO NOT PRINT'!$B$3:$G$297,5,FALSE)</f>
        <v>30.41</v>
      </c>
      <c r="G49" s="279" t="str">
        <f>IF(VLOOKUP($B49,'[4]Data - DO NOT PRINT'!$B$3:$G$297,6,FALSE)=0,"",VLOOKUP($B49,'[4]Data - DO NOT PRINT'!$B$3:$G$297,6,FALSE))</f>
        <v/>
      </c>
      <c r="H49" s="246"/>
      <c r="I49" s="247"/>
      <c r="J49" s="246"/>
      <c r="K49" s="246"/>
      <c r="L49" s="246"/>
      <c r="M49" s="246"/>
      <c r="N49" s="246"/>
    </row>
    <row r="50" spans="1:14" s="248" customFormat="1" ht="15" customHeight="1" thickBot="1">
      <c r="A50" s="262"/>
      <c r="B50" s="431" t="s">
        <v>2548</v>
      </c>
      <c r="C50" s="431"/>
      <c r="D50" s="432"/>
      <c r="E50" s="263">
        <f>SUBTOTAL(9,E49)</f>
        <v>5.49</v>
      </c>
      <c r="F50" s="263">
        <f>SUBTOTAL(9,F49)</f>
        <v>30.41</v>
      </c>
      <c r="G50" s="264"/>
      <c r="H50" s="246"/>
      <c r="I50" s="265"/>
      <c r="J50" s="266"/>
      <c r="K50" s="267"/>
      <c r="L50" s="268"/>
      <c r="M50" s="246"/>
      <c r="N50" s="246"/>
    </row>
    <row r="51" spans="1:14" s="248" customFormat="1" ht="15" customHeight="1" thickBot="1">
      <c r="A51" s="275">
        <v>1.92001</v>
      </c>
      <c r="B51" s="276" t="s">
        <v>2549</v>
      </c>
      <c r="C51" s="277" t="str">
        <f>VLOOKUP($B51,'[4]Data - DO NOT PRINT'!$B$3:$G$297,2,FALSE)</f>
        <v>Pyrotechnic Locker</v>
      </c>
      <c r="D51" s="278" t="str">
        <f>VLOOKUP($B51,'[4]Data - DO NOT PRINT'!$B$3:$G$297,3,FALSE)</f>
        <v>Main Deck</v>
      </c>
      <c r="E51" s="278">
        <f>VLOOKUP($B51,'[4]Data - DO NOT PRINT'!$B$3:$G$297,4,FALSE)</f>
        <v>2.7</v>
      </c>
      <c r="F51" s="278">
        <f>VLOOKUP($B51,'[4]Data - DO NOT PRINT'!$B$3:$G$297,5,FALSE)</f>
        <v>5.42</v>
      </c>
      <c r="G51" s="279" t="str">
        <f>IF(VLOOKUP($B51,'[4]Data - DO NOT PRINT'!$B$3:$G$297,6,FALSE)=0,"",VLOOKUP($B51,'[4]Data - DO NOT PRINT'!$B$3:$G$297,6,FALSE))</f>
        <v/>
      </c>
      <c r="H51" s="246"/>
      <c r="I51" s="247"/>
      <c r="J51" s="246"/>
      <c r="K51" s="246"/>
      <c r="L51" s="246"/>
      <c r="M51" s="246"/>
      <c r="N51" s="246"/>
    </row>
    <row r="52" spans="1:14" s="248" customFormat="1" ht="15" customHeight="1" thickBot="1">
      <c r="A52" s="262"/>
      <c r="B52" s="431" t="s">
        <v>2550</v>
      </c>
      <c r="C52" s="431"/>
      <c r="D52" s="432"/>
      <c r="E52" s="263">
        <f>SUBTOTAL(9,E51)</f>
        <v>2.7</v>
      </c>
      <c r="F52" s="263">
        <f>SUBTOTAL(9,F51)</f>
        <v>5.42</v>
      </c>
      <c r="G52" s="264"/>
      <c r="H52" s="246"/>
      <c r="I52" s="265"/>
      <c r="J52" s="266"/>
      <c r="K52" s="267"/>
      <c r="L52" s="268"/>
      <c r="M52" s="246"/>
      <c r="N52" s="246"/>
    </row>
    <row r="53" spans="1:14" s="248" customFormat="1" ht="15" customHeight="1" thickBot="1">
      <c r="A53" s="275">
        <v>1.94001</v>
      </c>
      <c r="B53" s="276" t="s">
        <v>2551</v>
      </c>
      <c r="C53" s="277" t="str">
        <f>VLOOKUP($B53,'[4]Data - DO NOT PRINT'!$B$3:$G$297,2,FALSE)</f>
        <v>Armory</v>
      </c>
      <c r="D53" s="278" t="str">
        <f>VLOOKUP($B53,'[4]Data - DO NOT PRINT'!$B$3:$G$297,3,FALSE)</f>
        <v>1st Platform</v>
      </c>
      <c r="E53" s="278">
        <f>VLOOKUP($B53,'[4]Data - DO NOT PRINT'!$B$3:$G$297,4,FALSE)</f>
        <v>6.86</v>
      </c>
      <c r="F53" s="278">
        <f>VLOOKUP($B53,'[4]Data - DO NOT PRINT'!$B$3:$G$297,5,FALSE)</f>
        <v>33.19</v>
      </c>
      <c r="G53" s="279" t="str">
        <f>IF(VLOOKUP($B53,'[4]Data - DO NOT PRINT'!$B$3:$G$297,6,FALSE)=0,"",VLOOKUP($B53,'[4]Data - DO NOT PRINT'!$B$3:$G$297,6,FALSE))</f>
        <v/>
      </c>
      <c r="H53" s="246"/>
      <c r="I53" s="247"/>
      <c r="J53" s="246"/>
      <c r="K53" s="246"/>
      <c r="L53" s="246"/>
      <c r="M53" s="246"/>
      <c r="N53" s="246"/>
    </row>
    <row r="54" spans="1:14" s="248" customFormat="1" ht="15" customHeight="1" thickBot="1">
      <c r="A54" s="262"/>
      <c r="B54" s="431" t="s">
        <v>2552</v>
      </c>
      <c r="C54" s="431"/>
      <c r="D54" s="432"/>
      <c r="E54" s="263">
        <f>SUBTOTAL(9,E53)</f>
        <v>6.86</v>
      </c>
      <c r="F54" s="263">
        <f>SUBTOTAL(9,F53)</f>
        <v>33.19</v>
      </c>
      <c r="G54" s="264"/>
      <c r="H54" s="246"/>
      <c r="I54" s="265"/>
      <c r="J54" s="266"/>
      <c r="K54" s="267"/>
      <c r="L54" s="268"/>
      <c r="M54" s="246"/>
      <c r="N54" s="246"/>
    </row>
    <row r="55" spans="1:14" s="248" customFormat="1" ht="15" customHeight="1">
      <c r="A55" s="269">
        <v>2.1111103</v>
      </c>
      <c r="B55" s="270" t="s">
        <v>2553</v>
      </c>
      <c r="C55" s="271" t="str">
        <f>VLOOKUP($B55,'[4]Data - DO NOT PRINT'!$B$3:$G$297,2,FALSE)</f>
        <v>Commanding Officer Office</v>
      </c>
      <c r="D55" s="272" t="str">
        <f>VLOOKUP($B55,'[4]Data - DO NOT PRINT'!$B$3:$G$297,3,FALSE)</f>
        <v>01 Level</v>
      </c>
      <c r="E55" s="272">
        <f>VLOOKUP($B55,'[4]Data - DO NOT PRINT'!$B$3:$G$297,4,FALSE)</f>
        <v>9.69</v>
      </c>
      <c r="F55" s="272">
        <f>VLOOKUP($B55,'[4]Data - DO NOT PRINT'!$B$3:$G$297,5,FALSE)</f>
        <v>27.13</v>
      </c>
      <c r="G55" s="273" t="str">
        <f>IF(VLOOKUP($B55,'[4]Data - DO NOT PRINT'!$B$3:$G$297,6,FALSE)=0,"",VLOOKUP($B55,'[4]Data - DO NOT PRINT'!$B$3:$G$297,6,FALSE))</f>
        <v/>
      </c>
      <c r="H55" s="246"/>
      <c r="I55" s="247"/>
      <c r="J55" s="246"/>
      <c r="K55" s="246"/>
      <c r="L55" s="246"/>
      <c r="M55" s="246"/>
      <c r="N55" s="246"/>
    </row>
    <row r="56" spans="1:14" s="248" customFormat="1" ht="15" customHeight="1">
      <c r="A56" s="250">
        <v>2.1111103999999998</v>
      </c>
      <c r="B56" s="251" t="s">
        <v>2554</v>
      </c>
      <c r="C56" s="252" t="str">
        <f>VLOOKUP($B56,'[4]Data - DO NOT PRINT'!$B$3:$G$297,2,FALSE)</f>
        <v>Commanding Officer Stateroom</v>
      </c>
      <c r="D56" s="253" t="str">
        <f>VLOOKUP($B56,'[4]Data - DO NOT PRINT'!$B$3:$G$297,3,FALSE)</f>
        <v>01 Level</v>
      </c>
      <c r="E56" s="253">
        <f>VLOOKUP($B56,'[4]Data - DO NOT PRINT'!$B$3:$G$297,4,FALSE)</f>
        <v>17.190000000000001</v>
      </c>
      <c r="F56" s="253">
        <f>VLOOKUP($B56,'[4]Data - DO NOT PRINT'!$B$3:$G$297,5,FALSE)</f>
        <v>43</v>
      </c>
      <c r="G56" s="254" t="str">
        <f>IF(VLOOKUP($B56,'[4]Data - DO NOT PRINT'!$B$3:$G$297,6,FALSE)=0,"",VLOOKUP($B56,'[4]Data - DO NOT PRINT'!$B$3:$G$297,6,FALSE))</f>
        <v/>
      </c>
      <c r="H56" s="246"/>
      <c r="I56" s="247"/>
      <c r="J56" s="246"/>
      <c r="K56" s="246"/>
      <c r="L56" s="246"/>
      <c r="M56" s="246"/>
      <c r="N56" s="246"/>
    </row>
    <row r="57" spans="1:14" s="248" customFormat="1" ht="15" customHeight="1">
      <c r="A57" s="250">
        <v>2.1111200000000001</v>
      </c>
      <c r="B57" s="251" t="s">
        <v>2555</v>
      </c>
      <c r="C57" s="252" t="str">
        <f>VLOOKUP($B57,'[4]Data - DO NOT PRINT'!$B$3:$G$297,2,FALSE)</f>
        <v>Officer (2) Stateroom</v>
      </c>
      <c r="D57" s="253" t="str">
        <f>VLOOKUP($B57,'[4]Data - DO NOT PRINT'!$B$3:$G$297,3,FALSE)</f>
        <v>01 Level</v>
      </c>
      <c r="E57" s="253">
        <f>VLOOKUP($B57,'[4]Data - DO NOT PRINT'!$B$3:$G$297,4,FALSE)</f>
        <v>15.66</v>
      </c>
      <c r="F57" s="253">
        <f>VLOOKUP($B57,'[4]Data - DO NOT PRINT'!$B$3:$G$297,5,FALSE)</f>
        <v>39.17</v>
      </c>
      <c r="G57" s="254" t="str">
        <f>IF(VLOOKUP($B57,'[4]Data - DO NOT PRINT'!$B$3:$G$297,6,FALSE)=0,"",VLOOKUP($B57,'[4]Data - DO NOT PRINT'!$B$3:$G$297,6,FALSE))</f>
        <v/>
      </c>
      <c r="H57" s="246"/>
      <c r="I57" s="247"/>
      <c r="J57" s="246"/>
      <c r="K57" s="246"/>
      <c r="L57" s="246"/>
      <c r="M57" s="246"/>
      <c r="N57" s="246"/>
    </row>
    <row r="58" spans="1:14" s="248" customFormat="1" ht="15" customHeight="1">
      <c r="A58" s="250">
        <v>2.1111200000000001</v>
      </c>
      <c r="B58" s="251" t="s">
        <v>2556</v>
      </c>
      <c r="C58" s="252" t="str">
        <f>VLOOKUP($B58,'[4]Data - DO NOT PRINT'!$B$3:$G$297,2,FALSE)</f>
        <v>Officer (2) Stateroom</v>
      </c>
      <c r="D58" s="253" t="str">
        <f>VLOOKUP($B58,'[4]Data - DO NOT PRINT'!$B$3:$G$297,3,FALSE)</f>
        <v>01 Level</v>
      </c>
      <c r="E58" s="253">
        <f>VLOOKUP($B58,'[4]Data - DO NOT PRINT'!$B$3:$G$297,4,FALSE)</f>
        <v>13.93</v>
      </c>
      <c r="F58" s="253">
        <f>VLOOKUP($B58,'[4]Data - DO NOT PRINT'!$B$3:$G$297,5,FALSE)</f>
        <v>36.01</v>
      </c>
      <c r="G58" s="254" t="str">
        <f>IF(VLOOKUP($B58,'[4]Data - DO NOT PRINT'!$B$3:$G$297,6,FALSE)=0,"",VLOOKUP($B58,'[4]Data - DO NOT PRINT'!$B$3:$G$297,6,FALSE))</f>
        <v/>
      </c>
      <c r="H58" s="246"/>
      <c r="I58" s="247"/>
      <c r="J58" s="246"/>
      <c r="K58" s="246"/>
      <c r="L58" s="246"/>
      <c r="M58" s="246"/>
      <c r="N58" s="246"/>
    </row>
    <row r="59" spans="1:14" s="248" customFormat="1" ht="15" customHeight="1">
      <c r="A59" s="250">
        <v>2.1111200000000001</v>
      </c>
      <c r="B59" s="251" t="s">
        <v>2557</v>
      </c>
      <c r="C59" s="252" t="str">
        <f>VLOOKUP($B59,'[4]Data - DO NOT PRINT'!$B$3:$G$297,2,FALSE)</f>
        <v>Officer (2) Stateroom</v>
      </c>
      <c r="D59" s="253" t="str">
        <f>VLOOKUP($B59,'[4]Data - DO NOT PRINT'!$B$3:$G$297,3,FALSE)</f>
        <v>01 Level</v>
      </c>
      <c r="E59" s="253">
        <f>VLOOKUP($B59,'[4]Data - DO NOT PRINT'!$B$3:$G$297,4,FALSE)</f>
        <v>14.32</v>
      </c>
      <c r="F59" s="253">
        <f>VLOOKUP($B59,'[4]Data - DO NOT PRINT'!$B$3:$G$297,5,FALSE)</f>
        <v>36.090000000000003</v>
      </c>
      <c r="G59" s="254" t="str">
        <f>IF(VLOOKUP($B59,'[4]Data - DO NOT PRINT'!$B$3:$G$297,6,FALSE)=0,"",VLOOKUP($B59,'[4]Data - DO NOT PRINT'!$B$3:$G$297,6,FALSE))</f>
        <v/>
      </c>
      <c r="H59" s="246"/>
      <c r="I59" s="247"/>
      <c r="J59" s="246"/>
      <c r="K59" s="246"/>
      <c r="L59" s="246"/>
      <c r="M59" s="246"/>
      <c r="N59" s="246"/>
    </row>
    <row r="60" spans="1:14" s="248" customFormat="1" ht="15" customHeight="1">
      <c r="A60" s="250">
        <v>2.1111200000000001</v>
      </c>
      <c r="B60" s="251" t="s">
        <v>2558</v>
      </c>
      <c r="C60" s="252" t="str">
        <f>VLOOKUP($B60,'[4]Data - DO NOT PRINT'!$B$3:$G$297,2,FALSE)</f>
        <v>Officer (2) Stateroom</v>
      </c>
      <c r="D60" s="253" t="str">
        <f>VLOOKUP($B60,'[4]Data - DO NOT PRINT'!$B$3:$G$297,3,FALSE)</f>
        <v>01 Level</v>
      </c>
      <c r="E60" s="253">
        <f>VLOOKUP($B60,'[4]Data - DO NOT PRINT'!$B$3:$G$297,4,FALSE)</f>
        <v>13.94</v>
      </c>
      <c r="F60" s="253">
        <f>VLOOKUP($B60,'[4]Data - DO NOT PRINT'!$B$3:$G$297,5,FALSE)</f>
        <v>38.4</v>
      </c>
      <c r="G60" s="254" t="str">
        <f>IF(VLOOKUP($B60,'[4]Data - DO NOT PRINT'!$B$3:$G$297,6,FALSE)=0,"",VLOOKUP($B60,'[4]Data - DO NOT PRINT'!$B$3:$G$297,6,FALSE))</f>
        <v/>
      </c>
      <c r="H60" s="246"/>
      <c r="I60" s="247"/>
      <c r="J60" s="246"/>
      <c r="K60" s="246"/>
      <c r="L60" s="246"/>
      <c r="M60" s="246"/>
      <c r="N60" s="246"/>
    </row>
    <row r="61" spans="1:14" s="248" customFormat="1" ht="15" customHeight="1">
      <c r="A61" s="250">
        <v>2.1111200000000001</v>
      </c>
      <c r="B61" s="251" t="s">
        <v>2559</v>
      </c>
      <c r="C61" s="252" t="str">
        <f>VLOOKUP($B61,'[4]Data - DO NOT PRINT'!$B$3:$G$297,2,FALSE)</f>
        <v>Officer (2) Stateroom</v>
      </c>
      <c r="D61" s="253" t="str">
        <f>VLOOKUP($B61,'[4]Data - DO NOT PRINT'!$B$3:$G$297,3,FALSE)</f>
        <v>01 Level</v>
      </c>
      <c r="E61" s="253">
        <f>VLOOKUP($B61,'[4]Data - DO NOT PRINT'!$B$3:$G$297,4,FALSE)</f>
        <v>16.670000000000002</v>
      </c>
      <c r="F61" s="253">
        <f>VLOOKUP($B61,'[4]Data - DO NOT PRINT'!$B$3:$G$297,5,FALSE)</f>
        <v>40.909999999999997</v>
      </c>
      <c r="G61" s="254" t="str">
        <f>IF(VLOOKUP($B61,'[4]Data - DO NOT PRINT'!$B$3:$G$297,6,FALSE)=0,"",VLOOKUP($B61,'[4]Data - DO NOT PRINT'!$B$3:$G$297,6,FALSE))</f>
        <v/>
      </c>
      <c r="H61" s="246"/>
      <c r="I61" s="247"/>
      <c r="J61" s="246"/>
      <c r="K61" s="246"/>
      <c r="L61" s="246"/>
      <c r="M61" s="246"/>
      <c r="N61" s="246"/>
    </row>
    <row r="62" spans="1:14" s="248" customFormat="1" ht="15" customHeight="1">
      <c r="A62" s="250">
        <v>2.1111200000000001</v>
      </c>
      <c r="B62" s="251" t="s">
        <v>2560</v>
      </c>
      <c r="C62" s="252" t="str">
        <f>VLOOKUP($B62,'[4]Data - DO NOT PRINT'!$B$3:$G$297,2,FALSE)</f>
        <v>Officer (2) Stateroom</v>
      </c>
      <c r="D62" s="253" t="str">
        <f>VLOOKUP($B62,'[4]Data - DO NOT PRINT'!$B$3:$G$297,3,FALSE)</f>
        <v>Main Deck</v>
      </c>
      <c r="E62" s="253">
        <f>VLOOKUP($B62,'[4]Data - DO NOT PRINT'!$B$3:$G$297,4,FALSE)</f>
        <v>14</v>
      </c>
      <c r="F62" s="253">
        <f>VLOOKUP($B62,'[4]Data - DO NOT PRINT'!$B$3:$G$297,5,FALSE)</f>
        <v>30.585999999999999</v>
      </c>
      <c r="G62" s="254" t="str">
        <f>IF(VLOOKUP($B62,'[4]Data - DO NOT PRINT'!$B$3:$G$297,6,FALSE)=0,"",VLOOKUP($B62,'[4]Data - DO NOT PRINT'!$B$3:$G$297,6,FALSE))</f>
        <v/>
      </c>
      <c r="H62" s="246"/>
      <c r="I62" s="247"/>
      <c r="J62" s="246"/>
      <c r="K62" s="246"/>
      <c r="L62" s="246"/>
      <c r="M62" s="246"/>
      <c r="N62" s="246"/>
    </row>
    <row r="63" spans="1:14" s="248" customFormat="1" ht="15" customHeight="1">
      <c r="A63" s="250">
        <v>2.1111206</v>
      </c>
      <c r="B63" s="251" t="s">
        <v>2561</v>
      </c>
      <c r="C63" s="252" t="str">
        <f>VLOOKUP($B63,'[4]Data - DO NOT PRINT'!$B$3:$G$297,2,FALSE)</f>
        <v>Executive Officer Stateroom</v>
      </c>
      <c r="D63" s="253" t="str">
        <f>VLOOKUP($B63,'[4]Data - DO NOT PRINT'!$B$3:$G$297,3,FALSE)</f>
        <v>Main Deck</v>
      </c>
      <c r="E63" s="253">
        <f>VLOOKUP($B63,'[4]Data - DO NOT PRINT'!$B$3:$G$297,4,FALSE)</f>
        <v>13.16</v>
      </c>
      <c r="F63" s="253">
        <f>VLOOKUP($B63,'[4]Data - DO NOT PRINT'!$B$3:$G$297,5,FALSE)</f>
        <v>36.159999999999997</v>
      </c>
      <c r="G63" s="254" t="str">
        <f>IF(VLOOKUP($B63,'[4]Data - DO NOT PRINT'!$B$3:$G$297,6,FALSE)=0,"",VLOOKUP($B63,'[4]Data - DO NOT PRINT'!$B$3:$G$297,6,FALSE))</f>
        <v/>
      </c>
      <c r="H63" s="246"/>
      <c r="I63" s="247"/>
      <c r="J63" s="246"/>
      <c r="K63" s="246"/>
      <c r="L63" s="246"/>
      <c r="M63" s="246"/>
      <c r="N63" s="246"/>
    </row>
    <row r="64" spans="1:14" s="248" customFormat="1" ht="15" customHeight="1">
      <c r="A64" s="250">
        <v>2.1121101000000002</v>
      </c>
      <c r="B64" s="251" t="s">
        <v>2562</v>
      </c>
      <c r="C64" s="252" t="str">
        <f>VLOOKUP($B64,'[4]Data - DO NOT PRINT'!$B$3:$G$297,2,FALSE)</f>
        <v>Commanding Officer Toilet/Shower</v>
      </c>
      <c r="D64" s="253" t="str">
        <f>VLOOKUP($B64,'[4]Data - DO NOT PRINT'!$B$3:$G$297,3,FALSE)</f>
        <v>01 Level</v>
      </c>
      <c r="E64" s="253">
        <f>VLOOKUP($B64,'[4]Data - DO NOT PRINT'!$B$3:$G$297,4,FALSE)</f>
        <v>2.66</v>
      </c>
      <c r="F64" s="253">
        <f>VLOOKUP($B64,'[4]Data - DO NOT PRINT'!$B$3:$G$297,5,FALSE)</f>
        <v>5.83</v>
      </c>
      <c r="G64" s="254" t="str">
        <f>IF(VLOOKUP($B64,'[4]Data - DO NOT PRINT'!$B$3:$G$297,6,FALSE)=0,"",VLOOKUP($B64,'[4]Data - DO NOT PRINT'!$B$3:$G$297,6,FALSE))</f>
        <v/>
      </c>
      <c r="H64" s="246"/>
      <c r="I64" s="247"/>
      <c r="J64" s="246"/>
      <c r="K64" s="246"/>
      <c r="L64" s="246"/>
      <c r="M64" s="246"/>
      <c r="N64" s="246"/>
    </row>
    <row r="65" spans="1:14" s="248" customFormat="1" ht="15" customHeight="1">
      <c r="A65" s="250">
        <v>2.1121200999999998</v>
      </c>
      <c r="B65" s="251" t="s">
        <v>2563</v>
      </c>
      <c r="C65" s="252" t="str">
        <f>VLOOKUP($B65,'[4]Data - DO NOT PRINT'!$B$3:$G$297,2,FALSE)</f>
        <v>Exec Officer Toilet/Shower</v>
      </c>
      <c r="D65" s="253" t="str">
        <f>VLOOKUP($B65,'[4]Data - DO NOT PRINT'!$B$3:$G$297,3,FALSE)</f>
        <v>Main Deck</v>
      </c>
      <c r="E65" s="253">
        <f>VLOOKUP($B65,'[4]Data - DO NOT PRINT'!$B$3:$G$297,4,FALSE)</f>
        <v>2.66</v>
      </c>
      <c r="F65" s="253">
        <f>VLOOKUP($B65,'[4]Data - DO NOT PRINT'!$B$3:$G$297,5,FALSE)</f>
        <v>5.83</v>
      </c>
      <c r="G65" s="254" t="str">
        <f>IF(VLOOKUP($B65,'[4]Data - DO NOT PRINT'!$B$3:$G$297,6,FALSE)=0,"",VLOOKUP($B65,'[4]Data - DO NOT PRINT'!$B$3:$G$297,6,FALSE))</f>
        <v/>
      </c>
      <c r="H65" s="246"/>
      <c r="I65" s="247"/>
      <c r="J65" s="246"/>
      <c r="K65" s="246"/>
      <c r="L65" s="246"/>
      <c r="M65" s="246"/>
      <c r="N65" s="246"/>
    </row>
    <row r="66" spans="1:14" s="248" customFormat="1" ht="15" customHeight="1">
      <c r="A66" s="250">
        <v>2.1121300999999999</v>
      </c>
      <c r="B66" s="251" t="s">
        <v>2564</v>
      </c>
      <c r="C66" s="252" t="str">
        <f>VLOOKUP($B66,'[4]Data - DO NOT PRINT'!$B$3:$G$297,2,FALSE)</f>
        <v>Officer Toilet/Shower</v>
      </c>
      <c r="D66" s="253" t="str">
        <f>VLOOKUP($B66,'[4]Data - DO NOT PRINT'!$B$3:$G$297,3,FALSE)</f>
        <v>01 Level</v>
      </c>
      <c r="E66" s="253">
        <f>VLOOKUP($B66,'[4]Data - DO NOT PRINT'!$B$3:$G$297,4,FALSE)</f>
        <v>2.66</v>
      </c>
      <c r="F66" s="253">
        <f>VLOOKUP($B66,'[4]Data - DO NOT PRINT'!$B$3:$G$297,5,FALSE)</f>
        <v>5.83</v>
      </c>
      <c r="G66" s="254" t="str">
        <f>IF(VLOOKUP($B66,'[4]Data - DO NOT PRINT'!$B$3:$G$297,6,FALSE)=0,"",VLOOKUP($B66,'[4]Data - DO NOT PRINT'!$B$3:$G$297,6,FALSE))</f>
        <v/>
      </c>
      <c r="H66" s="246"/>
      <c r="I66" s="247"/>
      <c r="J66" s="246"/>
      <c r="K66" s="246"/>
      <c r="L66" s="246"/>
      <c r="M66" s="246"/>
      <c r="N66" s="246"/>
    </row>
    <row r="67" spans="1:14" s="248" customFormat="1" ht="15" customHeight="1">
      <c r="A67" s="250">
        <v>2.1121300999999999</v>
      </c>
      <c r="B67" s="251" t="s">
        <v>2565</v>
      </c>
      <c r="C67" s="252" t="str">
        <f>VLOOKUP($B67,'[4]Data - DO NOT PRINT'!$B$3:$G$297,2,FALSE)</f>
        <v>Officer Toilet/Shower</v>
      </c>
      <c r="D67" s="253" t="str">
        <f>VLOOKUP($B67,'[4]Data - DO NOT PRINT'!$B$3:$G$297,3,FALSE)</f>
        <v>01 Level</v>
      </c>
      <c r="E67" s="253">
        <f>VLOOKUP($B67,'[4]Data - DO NOT PRINT'!$B$3:$G$297,4,FALSE)</f>
        <v>2.66</v>
      </c>
      <c r="F67" s="253">
        <f>VLOOKUP($B67,'[4]Data - DO NOT PRINT'!$B$3:$G$297,5,FALSE)</f>
        <v>5.83</v>
      </c>
      <c r="G67" s="254" t="str">
        <f>IF(VLOOKUP($B67,'[4]Data - DO NOT PRINT'!$B$3:$G$297,6,FALSE)=0,"",VLOOKUP($B67,'[4]Data - DO NOT PRINT'!$B$3:$G$297,6,FALSE))</f>
        <v/>
      </c>
      <c r="H67" s="246"/>
      <c r="I67" s="247"/>
      <c r="J67" s="246"/>
      <c r="K67" s="246"/>
      <c r="L67" s="246"/>
      <c r="M67" s="246"/>
      <c r="N67" s="246"/>
    </row>
    <row r="68" spans="1:14" s="248" customFormat="1" ht="15" customHeight="1">
      <c r="A68" s="250">
        <v>2.1121300999999999</v>
      </c>
      <c r="B68" s="251" t="s">
        <v>2566</v>
      </c>
      <c r="C68" s="252" t="str">
        <f>VLOOKUP($B68,'[4]Data - DO NOT PRINT'!$B$3:$G$297,2,FALSE)</f>
        <v>Officer Toilet/Shower</v>
      </c>
      <c r="D68" s="253" t="str">
        <f>VLOOKUP($B68,'[4]Data - DO NOT PRINT'!$B$3:$G$297,3,FALSE)</f>
        <v>01 Level</v>
      </c>
      <c r="E68" s="253">
        <f>VLOOKUP($B68,'[4]Data - DO NOT PRINT'!$B$3:$G$297,4,FALSE)</f>
        <v>2.66</v>
      </c>
      <c r="F68" s="253">
        <f>VLOOKUP($B68,'[4]Data - DO NOT PRINT'!$B$3:$G$297,5,FALSE)</f>
        <v>5.83</v>
      </c>
      <c r="G68" s="254" t="str">
        <f>IF(VLOOKUP($B68,'[4]Data - DO NOT PRINT'!$B$3:$G$297,6,FALSE)=0,"",VLOOKUP($B68,'[4]Data - DO NOT PRINT'!$B$3:$G$297,6,FALSE))</f>
        <v/>
      </c>
      <c r="H68" s="246"/>
      <c r="I68" s="247"/>
      <c r="J68" s="246"/>
      <c r="K68" s="246"/>
      <c r="L68" s="246"/>
      <c r="M68" s="246"/>
      <c r="N68" s="246"/>
    </row>
    <row r="69" spans="1:14" s="248" customFormat="1" ht="15" customHeight="1">
      <c r="A69" s="250">
        <v>2.1121300999999999</v>
      </c>
      <c r="B69" s="251" t="s">
        <v>2567</v>
      </c>
      <c r="C69" s="252" t="str">
        <f>VLOOKUP($B69,'[4]Data - DO NOT PRINT'!$B$3:$G$297,2,FALSE)</f>
        <v>Officer Toilet/Shower</v>
      </c>
      <c r="D69" s="253" t="str">
        <f>VLOOKUP($B69,'[4]Data - DO NOT PRINT'!$B$3:$G$297,3,FALSE)</f>
        <v>01 Level</v>
      </c>
      <c r="E69" s="253">
        <f>VLOOKUP($B69,'[4]Data - DO NOT PRINT'!$B$3:$G$297,4,FALSE)</f>
        <v>2.66</v>
      </c>
      <c r="F69" s="253">
        <f>VLOOKUP($B69,'[4]Data - DO NOT PRINT'!$B$3:$G$297,5,FALSE)</f>
        <v>5.83</v>
      </c>
      <c r="G69" s="254" t="str">
        <f>IF(VLOOKUP($B69,'[4]Data - DO NOT PRINT'!$B$3:$G$297,6,FALSE)=0,"",VLOOKUP($B69,'[4]Data - DO NOT PRINT'!$B$3:$G$297,6,FALSE))</f>
        <v/>
      </c>
      <c r="H69" s="246"/>
      <c r="I69" s="247"/>
      <c r="J69" s="246"/>
      <c r="K69" s="246"/>
      <c r="L69" s="246"/>
      <c r="M69" s="246"/>
      <c r="N69" s="246"/>
    </row>
    <row r="70" spans="1:14" s="248" customFormat="1" ht="15" customHeight="1">
      <c r="A70" s="250">
        <v>2.1121300999999999</v>
      </c>
      <c r="B70" s="251" t="s">
        <v>2568</v>
      </c>
      <c r="C70" s="252" t="str">
        <f>VLOOKUP($B70,'[4]Data - DO NOT PRINT'!$B$3:$G$297,2,FALSE)</f>
        <v>Officer Toilet/Shower</v>
      </c>
      <c r="D70" s="253" t="str">
        <f>VLOOKUP($B70,'[4]Data - DO NOT PRINT'!$B$3:$G$297,3,FALSE)</f>
        <v>01 Level</v>
      </c>
      <c r="E70" s="253">
        <f>VLOOKUP($B70,'[4]Data - DO NOT PRINT'!$B$3:$G$297,4,FALSE)</f>
        <v>2.66</v>
      </c>
      <c r="F70" s="253">
        <f>VLOOKUP($B70,'[4]Data - DO NOT PRINT'!$B$3:$G$297,5,FALSE)</f>
        <v>5.83</v>
      </c>
      <c r="G70" s="254" t="str">
        <f>IF(VLOOKUP($B70,'[4]Data - DO NOT PRINT'!$B$3:$G$297,6,FALSE)=0,"",VLOOKUP($B70,'[4]Data - DO NOT PRINT'!$B$3:$G$297,6,FALSE))</f>
        <v/>
      </c>
      <c r="H70" s="246"/>
      <c r="I70" s="247"/>
      <c r="J70" s="246"/>
      <c r="K70" s="246"/>
      <c r="L70" s="246"/>
      <c r="M70" s="246"/>
      <c r="N70" s="246"/>
    </row>
    <row r="71" spans="1:14" s="248" customFormat="1" ht="15" customHeight="1">
      <c r="A71" s="250">
        <v>2.1121300999999999</v>
      </c>
      <c r="B71" s="251" t="s">
        <v>2569</v>
      </c>
      <c r="C71" s="252" t="str">
        <f>VLOOKUP($B71,'[4]Data - DO NOT PRINT'!$B$3:$G$297,2,FALSE)</f>
        <v>Officer Toilet/Shower</v>
      </c>
      <c r="D71" s="253" t="str">
        <f>VLOOKUP($B71,'[4]Data - DO NOT PRINT'!$B$3:$G$297,3,FALSE)</f>
        <v>Main Deck</v>
      </c>
      <c r="E71" s="253">
        <f>VLOOKUP($B71,'[4]Data - DO NOT PRINT'!$B$3:$G$297,4,FALSE)</f>
        <v>2.66</v>
      </c>
      <c r="F71" s="253">
        <f>VLOOKUP($B71,'[4]Data - DO NOT PRINT'!$B$3:$G$297,5,FALSE)</f>
        <v>5.83</v>
      </c>
      <c r="G71" s="254" t="str">
        <f>IF(VLOOKUP($B71,'[4]Data - DO NOT PRINT'!$B$3:$G$297,6,FALSE)=0,"",VLOOKUP($B71,'[4]Data - DO NOT PRINT'!$B$3:$G$297,6,FALSE))</f>
        <v/>
      </c>
      <c r="H71" s="246"/>
      <c r="I71" s="247"/>
      <c r="J71" s="246"/>
      <c r="K71" s="246"/>
      <c r="L71" s="246"/>
      <c r="M71" s="246"/>
      <c r="N71" s="246"/>
    </row>
    <row r="72" spans="1:14" s="248" customFormat="1" ht="15" customHeight="1" thickBot="1">
      <c r="A72" s="257">
        <v>2.1121305000000001</v>
      </c>
      <c r="B72" s="258" t="s">
        <v>2570</v>
      </c>
      <c r="C72" s="259" t="str">
        <f>VLOOKUP($B72,'[4]Data - DO NOT PRINT'!$B$3:$G$297,2,FALSE)</f>
        <v>Bridge Water Closet</v>
      </c>
      <c r="D72" s="260" t="str">
        <f>VLOOKUP($B72,'[4]Data - DO NOT PRINT'!$B$3:$G$297,3,FALSE)</f>
        <v>01 Level</v>
      </c>
      <c r="E72" s="260">
        <f>VLOOKUP($B72,'[4]Data - DO NOT PRINT'!$B$3:$G$297,4,FALSE)</f>
        <v>2.0299999999999998</v>
      </c>
      <c r="F72" s="260">
        <f>VLOOKUP($B72,'[4]Data - DO NOT PRINT'!$B$3:$G$297,5,FALSE)</f>
        <v>5.68</v>
      </c>
      <c r="G72" s="261" t="str">
        <f>IF(VLOOKUP($B72,'[4]Data - DO NOT PRINT'!$B$3:$G$297,6,FALSE)=0,"",VLOOKUP($B72,'[4]Data - DO NOT PRINT'!$B$3:$G$297,6,FALSE))</f>
        <v/>
      </c>
      <c r="H72" s="246"/>
      <c r="I72" s="247"/>
      <c r="J72" s="246"/>
      <c r="K72" s="246"/>
      <c r="L72" s="246"/>
      <c r="M72" s="246"/>
      <c r="N72" s="246"/>
    </row>
    <row r="73" spans="1:14" s="248" customFormat="1" ht="15" customHeight="1" thickBot="1">
      <c r="A73" s="262"/>
      <c r="B73" s="431" t="s">
        <v>2571</v>
      </c>
      <c r="C73" s="431"/>
      <c r="D73" s="432"/>
      <c r="E73" s="263">
        <f>SUBTOTAL(9,E55:E72)</f>
        <v>151.86999999999998</v>
      </c>
      <c r="F73" s="263">
        <f>SUBTOTAL(9,F55:F72)</f>
        <v>379.7759999999999</v>
      </c>
      <c r="G73" s="264"/>
      <c r="H73" s="246"/>
      <c r="I73" s="265"/>
      <c r="J73" s="266"/>
      <c r="K73" s="267"/>
      <c r="L73" s="268"/>
      <c r="M73" s="246"/>
      <c r="N73" s="246"/>
    </row>
    <row r="74" spans="1:14" s="248" customFormat="1" ht="15" customHeight="1">
      <c r="A74" s="269">
        <v>2.1211030000000002</v>
      </c>
      <c r="B74" s="270" t="s">
        <v>2572</v>
      </c>
      <c r="C74" s="271" t="str">
        <f>VLOOKUP($B74,'[4]Data - DO NOT PRINT'!$B$3:$G$297,2,FALSE)</f>
        <v>Chief Petty Officer (4) Stateroom</v>
      </c>
      <c r="D74" s="272" t="str">
        <f>VLOOKUP($B74,'[4]Data - DO NOT PRINT'!$B$3:$G$297,3,FALSE)</f>
        <v>1st Platform</v>
      </c>
      <c r="E74" s="272">
        <f>VLOOKUP($B74,'[4]Data - DO NOT PRINT'!$B$3:$G$297,4,FALSE)</f>
        <v>16.36</v>
      </c>
      <c r="F74" s="272">
        <f>VLOOKUP($B74,'[4]Data - DO NOT PRINT'!$B$3:$G$297,5,FALSE)</f>
        <v>62.72</v>
      </c>
      <c r="G74" s="273" t="str">
        <f>IF(VLOOKUP($B74,'[4]Data - DO NOT PRINT'!$B$3:$G$297,6,FALSE)=0,"",VLOOKUP($B74,'[4]Data - DO NOT PRINT'!$B$3:$G$297,6,FALSE))</f>
        <v/>
      </c>
      <c r="H74" s="246"/>
      <c r="I74" s="247"/>
      <c r="J74" s="246"/>
      <c r="K74" s="246"/>
      <c r="L74" s="246"/>
      <c r="M74" s="246"/>
      <c r="N74" s="246"/>
    </row>
    <row r="75" spans="1:14" s="248" customFormat="1" ht="15" customHeight="1">
      <c r="A75" s="250">
        <v>2.1211030000000002</v>
      </c>
      <c r="B75" s="251" t="s">
        <v>2573</v>
      </c>
      <c r="C75" s="252" t="str">
        <f>VLOOKUP($B75,'[4]Data - DO NOT PRINT'!$B$3:$G$297,2,FALSE)</f>
        <v>Chief Petty Officer (2) Stateroom</v>
      </c>
      <c r="D75" s="253" t="str">
        <f>VLOOKUP($B75,'[4]Data - DO NOT PRINT'!$B$3:$G$297,3,FALSE)</f>
        <v>1st Platform</v>
      </c>
      <c r="E75" s="253">
        <f>VLOOKUP($B75,'[4]Data - DO NOT PRINT'!$B$3:$G$297,4,FALSE)</f>
        <v>11.93</v>
      </c>
      <c r="F75" s="253">
        <f>VLOOKUP($B75,'[4]Data - DO NOT PRINT'!$B$3:$G$297,5,FALSE)</f>
        <v>48.67</v>
      </c>
      <c r="G75" s="254" t="str">
        <f>IF(VLOOKUP($B75,'[4]Data - DO NOT PRINT'!$B$3:$G$297,6,FALSE)=0,"",VLOOKUP($B75,'[4]Data - DO NOT PRINT'!$B$3:$G$297,6,FALSE))</f>
        <v/>
      </c>
      <c r="H75" s="246"/>
      <c r="I75" s="247"/>
      <c r="J75" s="246"/>
      <c r="K75" s="246"/>
      <c r="L75" s="246"/>
      <c r="M75" s="246"/>
      <c r="N75" s="246"/>
    </row>
    <row r="76" spans="1:14" s="248" customFormat="1" ht="15" customHeight="1">
      <c r="A76" s="250">
        <v>2.1211030000000002</v>
      </c>
      <c r="B76" s="251" t="s">
        <v>2574</v>
      </c>
      <c r="C76" s="252" t="str">
        <f>VLOOKUP($B76,'[4]Data - DO NOT PRINT'!$B$3:$G$297,2,FALSE)</f>
        <v>Chief Petty Officer (2) Stateroom</v>
      </c>
      <c r="D76" s="253" t="str">
        <f>VLOOKUP($B76,'[4]Data - DO NOT PRINT'!$B$3:$G$297,3,FALSE)</f>
        <v>1st Platform</v>
      </c>
      <c r="E76" s="253">
        <f>VLOOKUP($B76,'[4]Data - DO NOT PRINT'!$B$3:$G$297,4,FALSE)</f>
        <v>11.16</v>
      </c>
      <c r="F76" s="253">
        <f>VLOOKUP($B76,'[4]Data - DO NOT PRINT'!$B$3:$G$297,5,FALSE)</f>
        <v>42.42</v>
      </c>
      <c r="G76" s="254" t="str">
        <f>IF(VLOOKUP($B76,'[4]Data - DO NOT PRINT'!$B$3:$G$297,6,FALSE)=0,"",VLOOKUP($B76,'[4]Data - DO NOT PRINT'!$B$3:$G$297,6,FALSE))</f>
        <v/>
      </c>
      <c r="H76" s="246"/>
      <c r="I76" s="247"/>
      <c r="J76" s="246"/>
      <c r="K76" s="246"/>
      <c r="L76" s="246"/>
      <c r="M76" s="246"/>
      <c r="N76" s="246"/>
    </row>
    <row r="77" spans="1:14" s="248" customFormat="1" ht="15" customHeight="1">
      <c r="A77" s="250">
        <v>2.1211030000000002</v>
      </c>
      <c r="B77" s="251" t="s">
        <v>2575</v>
      </c>
      <c r="C77" s="252" t="str">
        <f>VLOOKUP($B77,'[4]Data - DO NOT PRINT'!$B$3:$G$297,2,FALSE)</f>
        <v>Chief Petty Officer (2) Stateroom</v>
      </c>
      <c r="D77" s="253" t="str">
        <f>VLOOKUP($B77,'[4]Data - DO NOT PRINT'!$B$3:$G$297,3,FALSE)</f>
        <v>1st Platform</v>
      </c>
      <c r="E77" s="253">
        <f>VLOOKUP($B77,'[4]Data - DO NOT PRINT'!$B$3:$G$297,4,FALSE)</f>
        <v>11.63</v>
      </c>
      <c r="F77" s="253">
        <f>VLOOKUP($B77,'[4]Data - DO NOT PRINT'!$B$3:$G$297,5,FALSE)</f>
        <v>42.29</v>
      </c>
      <c r="G77" s="254" t="str">
        <f>IF(VLOOKUP($B77,'[4]Data - DO NOT PRINT'!$B$3:$G$297,6,FALSE)=0,"",VLOOKUP($B77,'[4]Data - DO NOT PRINT'!$B$3:$G$297,6,FALSE))</f>
        <v/>
      </c>
      <c r="H77" s="246"/>
      <c r="I77" s="247"/>
      <c r="J77" s="246"/>
      <c r="K77" s="246"/>
      <c r="L77" s="246"/>
      <c r="M77" s="246"/>
      <c r="N77" s="246"/>
    </row>
    <row r="78" spans="1:14" s="248" customFormat="1" ht="15" customHeight="1">
      <c r="A78" s="250">
        <v>2.1211030000000002</v>
      </c>
      <c r="B78" s="251" t="s">
        <v>2576</v>
      </c>
      <c r="C78" s="252" t="str">
        <f>VLOOKUP($B78,'[4]Data - DO NOT PRINT'!$B$3:$G$297,2,FALSE)</f>
        <v>Chief Petty Officer (2) Stateroom</v>
      </c>
      <c r="D78" s="253" t="str">
        <f>VLOOKUP($B78,'[4]Data - DO NOT PRINT'!$B$3:$G$297,3,FALSE)</f>
        <v>1st Platform</v>
      </c>
      <c r="E78" s="253">
        <f>VLOOKUP($B78,'[4]Data - DO NOT PRINT'!$B$3:$G$297,4,FALSE)</f>
        <v>11.86</v>
      </c>
      <c r="F78" s="253">
        <f>VLOOKUP($B78,'[4]Data - DO NOT PRINT'!$B$3:$G$297,5,FALSE)</f>
        <v>35.03</v>
      </c>
      <c r="G78" s="254" t="str">
        <f>IF(VLOOKUP($B78,'[4]Data - DO NOT PRINT'!$B$3:$G$297,6,FALSE)=0,"",VLOOKUP($B78,'[4]Data - DO NOT PRINT'!$B$3:$G$297,6,FALSE))</f>
        <v/>
      </c>
      <c r="H78" s="246"/>
      <c r="I78" s="247"/>
      <c r="J78" s="246"/>
      <c r="K78" s="246"/>
      <c r="L78" s="246"/>
      <c r="M78" s="246"/>
      <c r="N78" s="246"/>
    </row>
    <row r="79" spans="1:14" s="248" customFormat="1" ht="15" customHeight="1">
      <c r="A79" s="250">
        <v>2.1211030000000002</v>
      </c>
      <c r="B79" s="251" t="s">
        <v>2124</v>
      </c>
      <c r="C79" s="252" t="str">
        <f>VLOOKUP($B79,'[4]Data - DO NOT PRINT'!$B$3:$G$297,2,FALSE)</f>
        <v>Chief Petty Officer (2) Stateroom</v>
      </c>
      <c r="D79" s="253" t="str">
        <f>VLOOKUP($B79,'[4]Data - DO NOT PRINT'!$B$3:$G$297,3,FALSE)</f>
        <v>1st Platform</v>
      </c>
      <c r="E79" s="253">
        <f>VLOOKUP($B79,'[4]Data - DO NOT PRINT'!$B$3:$G$297,4,FALSE)</f>
        <v>11.86</v>
      </c>
      <c r="F79" s="253">
        <f>VLOOKUP($B79,'[4]Data - DO NOT PRINT'!$B$3:$G$297,5,FALSE)</f>
        <v>35.08</v>
      </c>
      <c r="G79" s="254" t="str">
        <f>IF(VLOOKUP($B79,'[4]Data - DO NOT PRINT'!$B$3:$G$297,6,FALSE)=0,"",VLOOKUP($B79,'[4]Data - DO NOT PRINT'!$B$3:$G$297,6,FALSE))</f>
        <v/>
      </c>
      <c r="H79" s="246"/>
      <c r="I79" s="247"/>
      <c r="J79" s="246"/>
      <c r="K79" s="246"/>
      <c r="L79" s="246"/>
      <c r="M79" s="246"/>
      <c r="N79" s="246"/>
    </row>
    <row r="80" spans="1:14" s="248" customFormat="1" ht="15" customHeight="1">
      <c r="A80" s="250">
        <v>2.1211030000000002</v>
      </c>
      <c r="B80" s="251" t="s">
        <v>2577</v>
      </c>
      <c r="C80" s="252" t="str">
        <f>VLOOKUP($B80,'[4]Data - DO NOT PRINT'!$B$3:$G$297,2,FALSE)</f>
        <v>Chief Petty Officer (2) Stateroom</v>
      </c>
      <c r="D80" s="253" t="str">
        <f>VLOOKUP($B80,'[4]Data - DO NOT PRINT'!$B$3:$G$297,3,FALSE)</f>
        <v>1st Platform</v>
      </c>
      <c r="E80" s="253">
        <f>VLOOKUP($B80,'[4]Data - DO NOT PRINT'!$B$3:$G$297,4,FALSE)</f>
        <v>11.91</v>
      </c>
      <c r="F80" s="253">
        <f>VLOOKUP($B80,'[4]Data - DO NOT PRINT'!$B$3:$G$297,5,FALSE)</f>
        <v>35.369999999999997</v>
      </c>
      <c r="G80" s="254" t="str">
        <f>IF(VLOOKUP($B80,'[4]Data - DO NOT PRINT'!$B$3:$G$297,6,FALSE)=0,"",VLOOKUP($B80,'[4]Data - DO NOT PRINT'!$B$3:$G$297,6,FALSE))</f>
        <v/>
      </c>
      <c r="H80" s="246"/>
      <c r="I80" s="247"/>
      <c r="J80" s="246"/>
      <c r="K80" s="246"/>
      <c r="L80" s="246"/>
      <c r="M80" s="246"/>
      <c r="N80" s="246"/>
    </row>
    <row r="81" spans="1:14" s="248" customFormat="1" ht="15" customHeight="1">
      <c r="A81" s="250">
        <v>2.1221019999999999</v>
      </c>
      <c r="B81" s="251" t="s">
        <v>2578</v>
      </c>
      <c r="C81" s="252" t="str">
        <f>VLOOKUP($B81,'[4]Data - DO NOT PRINT'!$B$3:$G$297,2,FALSE)</f>
        <v>Chief Petty Officer Toilet/Shower</v>
      </c>
      <c r="D81" s="253" t="str">
        <f>VLOOKUP($B81,'[4]Data - DO NOT PRINT'!$B$3:$G$297,3,FALSE)</f>
        <v>1st Platform</v>
      </c>
      <c r="E81" s="253">
        <f>VLOOKUP($B81,'[4]Data - DO NOT PRINT'!$B$3:$G$297,4,FALSE)</f>
        <v>2.66</v>
      </c>
      <c r="F81" s="253">
        <f>VLOOKUP($B81,'[4]Data - DO NOT PRINT'!$B$3:$G$297,5,FALSE)</f>
        <v>5.83</v>
      </c>
      <c r="G81" s="254" t="str">
        <f>IF(VLOOKUP($B81,'[4]Data - DO NOT PRINT'!$B$3:$G$297,6,FALSE)=0,"",VLOOKUP($B81,'[4]Data - DO NOT PRINT'!$B$3:$G$297,6,FALSE))</f>
        <v/>
      </c>
      <c r="H81" s="246"/>
      <c r="I81" s="247"/>
      <c r="J81" s="246"/>
      <c r="K81" s="246"/>
      <c r="L81" s="246"/>
      <c r="M81" s="246"/>
      <c r="N81" s="246"/>
    </row>
    <row r="82" spans="1:14" s="248" customFormat="1" ht="15" customHeight="1">
      <c r="A82" s="250">
        <v>2.1221019999999999</v>
      </c>
      <c r="B82" s="251" t="s">
        <v>2579</v>
      </c>
      <c r="C82" s="252" t="str">
        <f>VLOOKUP($B82,'[4]Data - DO NOT PRINT'!$B$3:$G$297,2,FALSE)</f>
        <v>Chief Petty Officer Toilet/Shower</v>
      </c>
      <c r="D82" s="253" t="str">
        <f>VLOOKUP($B82,'[4]Data - DO NOT PRINT'!$B$3:$G$297,3,FALSE)</f>
        <v>1st Platform</v>
      </c>
      <c r="E82" s="253">
        <f>VLOOKUP($B82,'[4]Data - DO NOT PRINT'!$B$3:$G$297,4,FALSE)</f>
        <v>2.66</v>
      </c>
      <c r="F82" s="253">
        <f>VLOOKUP($B82,'[4]Data - DO NOT PRINT'!$B$3:$G$297,5,FALSE)</f>
        <v>5.83</v>
      </c>
      <c r="G82" s="254" t="str">
        <f>IF(VLOOKUP($B82,'[4]Data - DO NOT PRINT'!$B$3:$G$297,6,FALSE)=0,"",VLOOKUP($B82,'[4]Data - DO NOT PRINT'!$B$3:$G$297,6,FALSE))</f>
        <v/>
      </c>
      <c r="H82" s="246"/>
      <c r="I82" s="247"/>
      <c r="J82" s="246"/>
      <c r="K82" s="246"/>
      <c r="L82" s="246"/>
      <c r="M82" s="246"/>
      <c r="N82" s="246"/>
    </row>
    <row r="83" spans="1:14" s="248" customFormat="1" ht="15" customHeight="1">
      <c r="A83" s="250">
        <v>2.1221019999999999</v>
      </c>
      <c r="B83" s="251" t="s">
        <v>2580</v>
      </c>
      <c r="C83" s="252" t="str">
        <f>VLOOKUP($B83,'[4]Data - DO NOT PRINT'!$B$3:$G$297,2,FALSE)</f>
        <v>Chief Petty Officer Toilet/Shower</v>
      </c>
      <c r="D83" s="253" t="str">
        <f>VLOOKUP($B83,'[4]Data - DO NOT PRINT'!$B$3:$G$297,3,FALSE)</f>
        <v>1st Platform</v>
      </c>
      <c r="E83" s="253">
        <f>VLOOKUP($B83,'[4]Data - DO NOT PRINT'!$B$3:$G$297,4,FALSE)</f>
        <v>2.66</v>
      </c>
      <c r="F83" s="253">
        <f>VLOOKUP($B83,'[4]Data - DO NOT PRINT'!$B$3:$G$297,5,FALSE)</f>
        <v>5.83</v>
      </c>
      <c r="G83" s="254" t="str">
        <f>IF(VLOOKUP($B83,'[4]Data - DO NOT PRINT'!$B$3:$G$297,6,FALSE)=0,"",VLOOKUP($B83,'[4]Data - DO NOT PRINT'!$B$3:$G$297,6,FALSE))</f>
        <v/>
      </c>
      <c r="H83" s="246"/>
      <c r="I83" s="247"/>
      <c r="J83" s="246"/>
      <c r="K83" s="246"/>
      <c r="L83" s="246"/>
      <c r="M83" s="246"/>
      <c r="N83" s="246"/>
    </row>
    <row r="84" spans="1:14" s="248" customFormat="1" ht="15" customHeight="1">
      <c r="A84" s="250">
        <v>2.1221019999999999</v>
      </c>
      <c r="B84" s="251" t="s">
        <v>2581</v>
      </c>
      <c r="C84" s="252" t="str">
        <f>VLOOKUP($B84,'[4]Data - DO NOT PRINT'!$B$3:$G$297,2,FALSE)</f>
        <v>Chief Petty Officer Toilet/Shower</v>
      </c>
      <c r="D84" s="253" t="str">
        <f>VLOOKUP($B84,'[4]Data - DO NOT PRINT'!$B$3:$G$297,3,FALSE)</f>
        <v>1st Platform</v>
      </c>
      <c r="E84" s="253">
        <f>VLOOKUP($B84,'[4]Data - DO NOT PRINT'!$B$3:$G$297,4,FALSE)</f>
        <v>2.66</v>
      </c>
      <c r="F84" s="253">
        <f>VLOOKUP($B84,'[4]Data - DO NOT PRINT'!$B$3:$G$297,5,FALSE)</f>
        <v>5.83</v>
      </c>
      <c r="G84" s="254" t="str">
        <f>IF(VLOOKUP($B84,'[4]Data - DO NOT PRINT'!$B$3:$G$297,6,FALSE)=0,"",VLOOKUP($B84,'[4]Data - DO NOT PRINT'!$B$3:$G$297,6,FALSE))</f>
        <v/>
      </c>
      <c r="H84" s="246"/>
      <c r="I84" s="247"/>
      <c r="J84" s="246"/>
      <c r="K84" s="246"/>
      <c r="L84" s="246"/>
      <c r="M84" s="246"/>
      <c r="N84" s="246"/>
    </row>
    <row r="85" spans="1:14" s="248" customFormat="1" ht="15" customHeight="1">
      <c r="A85" s="250">
        <v>2.1221019999999999</v>
      </c>
      <c r="B85" s="251" t="s">
        <v>2582</v>
      </c>
      <c r="C85" s="252" t="str">
        <f>VLOOKUP($B85,'[4]Data - DO NOT PRINT'!$B$3:$G$297,2,FALSE)</f>
        <v>Chief Petty Officer Toilet/Shower</v>
      </c>
      <c r="D85" s="253" t="str">
        <f>VLOOKUP($B85,'[4]Data - DO NOT PRINT'!$B$3:$G$297,3,FALSE)</f>
        <v>1st Platform</v>
      </c>
      <c r="E85" s="253">
        <f>VLOOKUP($B85,'[4]Data - DO NOT PRINT'!$B$3:$G$297,4,FALSE)</f>
        <v>2.66</v>
      </c>
      <c r="F85" s="253">
        <f>VLOOKUP($B85,'[4]Data - DO NOT PRINT'!$B$3:$G$297,5,FALSE)</f>
        <v>5.83</v>
      </c>
      <c r="G85" s="254" t="str">
        <f>IF(VLOOKUP($B85,'[4]Data - DO NOT PRINT'!$B$3:$G$297,6,FALSE)=0,"",VLOOKUP($B85,'[4]Data - DO NOT PRINT'!$B$3:$G$297,6,FALSE))</f>
        <v/>
      </c>
      <c r="H85" s="246"/>
      <c r="I85" s="247"/>
      <c r="J85" s="246"/>
      <c r="K85" s="246"/>
      <c r="L85" s="246"/>
      <c r="M85" s="246"/>
      <c r="N85" s="246"/>
    </row>
    <row r="86" spans="1:14" s="248" customFormat="1" ht="15" customHeight="1">
      <c r="A86" s="250">
        <v>2.1221019999999999</v>
      </c>
      <c r="B86" s="251" t="s">
        <v>2583</v>
      </c>
      <c r="C86" s="252" t="str">
        <f>VLOOKUP($B86,'[4]Data - DO NOT PRINT'!$B$3:$G$297,2,FALSE)</f>
        <v>Medical Treatment Room Toilet/Shower</v>
      </c>
      <c r="D86" s="253" t="str">
        <f>VLOOKUP($B86,'[4]Data - DO NOT PRINT'!$B$3:$G$297,3,FALSE)</f>
        <v>1st Platform</v>
      </c>
      <c r="E86" s="253">
        <f>VLOOKUP($B86,'[4]Data - DO NOT PRINT'!$B$3:$G$297,4,FALSE)</f>
        <v>2.66</v>
      </c>
      <c r="F86" s="253">
        <f>VLOOKUP($B86,'[4]Data - DO NOT PRINT'!$B$3:$G$297,5,FALSE)</f>
        <v>5.83</v>
      </c>
      <c r="G86" s="254" t="str">
        <f>IF(VLOOKUP($B86,'[4]Data - DO NOT PRINT'!$B$3:$G$297,6,FALSE)=0,"",VLOOKUP($B86,'[4]Data - DO NOT PRINT'!$B$3:$G$297,6,FALSE))</f>
        <v/>
      </c>
      <c r="H86" s="246"/>
      <c r="I86" s="247"/>
      <c r="J86" s="246"/>
      <c r="K86" s="246"/>
      <c r="L86" s="246"/>
      <c r="M86" s="246"/>
      <c r="N86" s="246"/>
    </row>
    <row r="87" spans="1:14" s="248" customFormat="1" ht="15" customHeight="1" thickBot="1">
      <c r="A87" s="257">
        <v>2.1221019999999999</v>
      </c>
      <c r="B87" s="258" t="s">
        <v>2584</v>
      </c>
      <c r="C87" s="259" t="str">
        <f>VLOOKUP($B87,'[4]Data - DO NOT PRINT'!$B$3:$G$297,2,FALSE)</f>
        <v>Chief Petty Officer Toilet/Shower</v>
      </c>
      <c r="D87" s="260" t="str">
        <f>VLOOKUP($B87,'[4]Data - DO NOT PRINT'!$B$3:$G$297,3,FALSE)</f>
        <v>1st Platform</v>
      </c>
      <c r="E87" s="260">
        <f>VLOOKUP($B87,'[4]Data - DO NOT PRINT'!$B$3:$G$297,4,FALSE)</f>
        <v>2.66</v>
      </c>
      <c r="F87" s="260">
        <f>VLOOKUP($B87,'[4]Data - DO NOT PRINT'!$B$3:$G$297,5,FALSE)</f>
        <v>5.83</v>
      </c>
      <c r="G87" s="261" t="str">
        <f>IF(VLOOKUP($B87,'[4]Data - DO NOT PRINT'!$B$3:$G$297,6,FALSE)=0,"",VLOOKUP($B87,'[4]Data - DO NOT PRINT'!$B$3:$G$297,6,FALSE))</f>
        <v/>
      </c>
      <c r="H87" s="246"/>
      <c r="I87" s="247"/>
      <c r="J87" s="246"/>
      <c r="K87" s="246"/>
      <c r="L87" s="246"/>
      <c r="M87" s="246"/>
      <c r="N87" s="246"/>
    </row>
    <row r="88" spans="1:14" s="248" customFormat="1" ht="15" customHeight="1" thickBot="1">
      <c r="A88" s="262"/>
      <c r="B88" s="431" t="s">
        <v>2585</v>
      </c>
      <c r="C88" s="431"/>
      <c r="D88" s="432"/>
      <c r="E88" s="263">
        <f>SUBTOTAL(9,E74:E87)</f>
        <v>105.32999999999998</v>
      </c>
      <c r="F88" s="263">
        <f>SUBTOTAL(9,F74:F87)</f>
        <v>342.38999999999987</v>
      </c>
      <c r="G88" s="264"/>
      <c r="H88" s="246"/>
      <c r="I88" s="265"/>
      <c r="J88" s="266"/>
      <c r="K88" s="267"/>
      <c r="L88" s="268"/>
      <c r="M88" s="246"/>
      <c r="N88" s="246"/>
    </row>
    <row r="89" spans="1:14" s="248" customFormat="1" ht="15" customHeight="1">
      <c r="A89" s="269">
        <v>2.1311010000000001</v>
      </c>
      <c r="B89" s="270" t="s">
        <v>2586</v>
      </c>
      <c r="C89" s="271" t="str">
        <f>VLOOKUP($B89,'[4]Data - DO NOT PRINT'!$B$3:$G$297,2,FALSE)</f>
        <v>Crew (8) Stateroom</v>
      </c>
      <c r="D89" s="272" t="str">
        <f>VLOOKUP($B89,'[4]Data - DO NOT PRINT'!$B$3:$G$297,3,FALSE)</f>
        <v>1st Platform</v>
      </c>
      <c r="E89" s="272">
        <f>VLOOKUP($B89,'[4]Data - DO NOT PRINT'!$B$3:$G$297,4,FALSE)</f>
        <v>27.3</v>
      </c>
      <c r="F89" s="272">
        <f>VLOOKUP($B89,'[4]Data - DO NOT PRINT'!$B$3:$G$297,5,FALSE)</f>
        <v>63.28</v>
      </c>
      <c r="G89" s="273" t="str">
        <f>IF(VLOOKUP($B89,'[4]Data - DO NOT PRINT'!$B$3:$G$297,6,FALSE)=0,"",VLOOKUP($B89,'[4]Data - DO NOT PRINT'!$B$3:$G$297,6,FALSE))</f>
        <v/>
      </c>
      <c r="H89" s="246"/>
      <c r="I89" s="247"/>
      <c r="J89" s="246"/>
      <c r="K89" s="246"/>
      <c r="L89" s="246"/>
      <c r="M89" s="246"/>
      <c r="N89" s="246"/>
    </row>
    <row r="90" spans="1:14" s="248" customFormat="1" ht="15" customHeight="1">
      <c r="A90" s="250">
        <v>2.1311010000000001</v>
      </c>
      <c r="B90" s="251" t="s">
        <v>2587</v>
      </c>
      <c r="C90" s="252" t="str">
        <f>VLOOKUP($B90,'[4]Data - DO NOT PRINT'!$B$3:$G$297,2,FALSE)</f>
        <v>Crew (6) Stateroom</v>
      </c>
      <c r="D90" s="253" t="str">
        <f>VLOOKUP($B90,'[4]Data - DO NOT PRINT'!$B$3:$G$297,3,FALSE)</f>
        <v>1st Platform</v>
      </c>
      <c r="E90" s="253">
        <f>VLOOKUP($B90,'[4]Data - DO NOT PRINT'!$B$3:$G$297,4,FALSE)</f>
        <v>26.08</v>
      </c>
      <c r="F90" s="253">
        <f>VLOOKUP($B90,'[4]Data - DO NOT PRINT'!$B$3:$G$297,5,FALSE)</f>
        <v>71.83</v>
      </c>
      <c r="G90" s="254" t="str">
        <f>IF(VLOOKUP($B90,'[4]Data - DO NOT PRINT'!$B$3:$G$297,6,FALSE)=0,"",VLOOKUP($B90,'[4]Data - DO NOT PRINT'!$B$3:$G$297,6,FALSE))</f>
        <v/>
      </c>
      <c r="H90" s="246"/>
      <c r="I90" s="247"/>
      <c r="J90" s="246"/>
      <c r="K90" s="246"/>
      <c r="L90" s="246"/>
      <c r="M90" s="246"/>
      <c r="N90" s="246"/>
    </row>
    <row r="91" spans="1:14" s="248" customFormat="1" ht="15" customHeight="1">
      <c r="A91" s="250">
        <v>2.1311010000000001</v>
      </c>
      <c r="B91" s="251" t="s">
        <v>2588</v>
      </c>
      <c r="C91" s="252" t="str">
        <f>VLOOKUP($B91,'[4]Data - DO NOT PRINT'!$B$3:$G$297,2,FALSE)</f>
        <v>Crew (4) Stateroom</v>
      </c>
      <c r="D91" s="253" t="str">
        <f>VLOOKUP($B91,'[4]Data - DO NOT PRINT'!$B$3:$G$297,3,FALSE)</f>
        <v>1st Platform</v>
      </c>
      <c r="E91" s="253">
        <f>VLOOKUP($B91,'[4]Data - DO NOT PRINT'!$B$3:$G$297,4,FALSE)</f>
        <v>14.44</v>
      </c>
      <c r="F91" s="253">
        <f>VLOOKUP($B91,'[4]Data - DO NOT PRINT'!$B$3:$G$297,5,FALSE)</f>
        <v>31.52</v>
      </c>
      <c r="G91" s="254" t="str">
        <f>IF(VLOOKUP($B91,'[4]Data - DO NOT PRINT'!$B$3:$G$297,6,FALSE)=0,"",VLOOKUP($B91,'[4]Data - DO NOT PRINT'!$B$3:$G$297,6,FALSE))</f>
        <v/>
      </c>
      <c r="H91" s="246"/>
      <c r="I91" s="247"/>
      <c r="J91" s="246"/>
      <c r="K91" s="246"/>
      <c r="L91" s="246"/>
      <c r="M91" s="246"/>
      <c r="N91" s="246"/>
    </row>
    <row r="92" spans="1:14" s="248" customFormat="1" ht="15" customHeight="1">
      <c r="A92" s="250">
        <v>2.1311010000000001</v>
      </c>
      <c r="B92" s="251" t="s">
        <v>2589</v>
      </c>
      <c r="C92" s="252" t="str">
        <f>VLOOKUP($B92,'[4]Data - DO NOT PRINT'!$B$3:$G$297,2,FALSE)</f>
        <v>Crew (8) Stateroom</v>
      </c>
      <c r="D92" s="253" t="str">
        <f>VLOOKUP($B92,'[4]Data - DO NOT PRINT'!$B$3:$G$297,3,FALSE)</f>
        <v>2nd Platform</v>
      </c>
      <c r="E92" s="253">
        <f>VLOOKUP($B92,'[4]Data - DO NOT PRINT'!$B$3:$G$297,4,FALSE)</f>
        <v>34.590000000000003</v>
      </c>
      <c r="F92" s="253">
        <f>VLOOKUP($B92,'[4]Data - DO NOT PRINT'!$B$3:$G$297,5,FALSE)</f>
        <v>124.29</v>
      </c>
      <c r="G92" s="254" t="str">
        <f>IF(VLOOKUP($B92,'[4]Data - DO NOT PRINT'!$B$3:$G$297,6,FALSE)=0,"",VLOOKUP($B92,'[4]Data - DO NOT PRINT'!$B$3:$G$297,6,FALSE))</f>
        <v/>
      </c>
      <c r="H92" s="246"/>
      <c r="I92" s="247"/>
      <c r="J92" s="246"/>
      <c r="K92" s="246"/>
      <c r="L92" s="246"/>
      <c r="M92" s="246"/>
      <c r="N92" s="246"/>
    </row>
    <row r="93" spans="1:14" s="248" customFormat="1" ht="15" customHeight="1">
      <c r="A93" s="250">
        <v>2.1311010000000001</v>
      </c>
      <c r="B93" s="251" t="s">
        <v>2590</v>
      </c>
      <c r="C93" s="252" t="str">
        <f>VLOOKUP($B93,'[4]Data - DO NOT PRINT'!$B$3:$G$297,2,FALSE)</f>
        <v>Crew (4) Stateroom</v>
      </c>
      <c r="D93" s="253" t="str">
        <f>VLOOKUP($B93,'[4]Data - DO NOT PRINT'!$B$3:$G$297,3,FALSE)</f>
        <v>2nd Platform</v>
      </c>
      <c r="E93" s="253">
        <f>VLOOKUP($B93,'[4]Data - DO NOT PRINT'!$B$3:$G$297,4,FALSE)</f>
        <v>16.010000000000002</v>
      </c>
      <c r="F93" s="253">
        <f>VLOOKUP($B93,'[4]Data - DO NOT PRINT'!$B$3:$G$297,5,FALSE)</f>
        <v>59.11</v>
      </c>
      <c r="G93" s="254" t="str">
        <f>IF(VLOOKUP($B93,'[4]Data - DO NOT PRINT'!$B$3:$G$297,6,FALSE)=0,"",VLOOKUP($B93,'[4]Data - DO NOT PRINT'!$B$3:$G$297,6,FALSE))</f>
        <v/>
      </c>
      <c r="H93" s="246"/>
      <c r="I93" s="247"/>
      <c r="J93" s="246"/>
      <c r="K93" s="246"/>
      <c r="L93" s="246"/>
      <c r="M93" s="246"/>
      <c r="N93" s="246"/>
    </row>
    <row r="94" spans="1:14" s="248" customFormat="1" ht="15" customHeight="1">
      <c r="A94" s="250">
        <v>2.1311010000000001</v>
      </c>
      <c r="B94" s="251" t="s">
        <v>2591</v>
      </c>
      <c r="C94" s="252" t="str">
        <f>VLOOKUP($B94,'[4]Data - DO NOT PRINT'!$B$3:$G$297,2,FALSE)</f>
        <v>Crew (8) Stateroom</v>
      </c>
      <c r="D94" s="253" t="str">
        <f>VLOOKUP($B94,'[4]Data - DO NOT PRINT'!$B$3:$G$297,3,FALSE)</f>
        <v>2nd Platform</v>
      </c>
      <c r="E94" s="253">
        <f>VLOOKUP($B94,'[4]Data - DO NOT PRINT'!$B$3:$G$297,4,FALSE)</f>
        <v>34.15</v>
      </c>
      <c r="F94" s="253">
        <f>VLOOKUP($B94,'[4]Data - DO NOT PRINT'!$B$3:$G$297,5,FALSE)</f>
        <v>107.95</v>
      </c>
      <c r="G94" s="254" t="str">
        <f>IF(VLOOKUP($B94,'[4]Data - DO NOT PRINT'!$B$3:$G$297,6,FALSE)=0,"",VLOOKUP($B94,'[4]Data - DO NOT PRINT'!$B$3:$G$297,6,FALSE))</f>
        <v/>
      </c>
      <c r="H94" s="246"/>
      <c r="I94" s="247"/>
      <c r="J94" s="246"/>
      <c r="K94" s="246"/>
      <c r="L94" s="246"/>
      <c r="M94" s="246"/>
      <c r="N94" s="246"/>
    </row>
    <row r="95" spans="1:14" s="248" customFormat="1" ht="15" customHeight="1">
      <c r="A95" s="250">
        <v>2.1311010000000001</v>
      </c>
      <c r="B95" s="251" t="s">
        <v>2592</v>
      </c>
      <c r="C95" s="252" t="str">
        <f>VLOOKUP($B95,'[4]Data - DO NOT PRINT'!$B$3:$G$297,2,FALSE)</f>
        <v>Crew (8) Stateroom</v>
      </c>
      <c r="D95" s="253" t="str">
        <f>VLOOKUP($B95,'[4]Data - DO NOT PRINT'!$B$3:$G$297,3,FALSE)</f>
        <v>2nd Platform</v>
      </c>
      <c r="E95" s="253">
        <f>VLOOKUP($B95,'[4]Data - DO NOT PRINT'!$B$3:$G$297,4,FALSE)</f>
        <v>31.17</v>
      </c>
      <c r="F95" s="253">
        <f>VLOOKUP($B95,'[4]Data - DO NOT PRINT'!$B$3:$G$297,5,FALSE)</f>
        <v>99.54</v>
      </c>
      <c r="G95" s="254" t="str">
        <f>IF(VLOOKUP($B95,'[4]Data - DO NOT PRINT'!$B$3:$G$297,6,FALSE)=0,"",VLOOKUP($B95,'[4]Data - DO NOT PRINT'!$B$3:$G$297,6,FALSE))</f>
        <v/>
      </c>
      <c r="H95" s="246"/>
      <c r="I95" s="247"/>
      <c r="J95" s="246"/>
      <c r="K95" s="246"/>
      <c r="L95" s="246"/>
      <c r="M95" s="246"/>
      <c r="N95" s="246"/>
    </row>
    <row r="96" spans="1:14" s="248" customFormat="1" ht="15" customHeight="1">
      <c r="A96" s="250">
        <v>2.1321020000000002</v>
      </c>
      <c r="B96" s="251" t="s">
        <v>2593</v>
      </c>
      <c r="C96" s="252" t="str">
        <f>VLOOKUP($B96,'[4]Data - DO NOT PRINT'!$B$3:$G$297,2,FALSE)</f>
        <v>Chief Petty Officer Toilet/Shower</v>
      </c>
      <c r="D96" s="253" t="str">
        <f>VLOOKUP($B96,'[4]Data - DO NOT PRINT'!$B$3:$G$297,3,FALSE)</f>
        <v>1st Platform</v>
      </c>
      <c r="E96" s="253">
        <f>VLOOKUP($B96,'[4]Data - DO NOT PRINT'!$B$3:$G$297,4,FALSE)</f>
        <v>2.66</v>
      </c>
      <c r="F96" s="253">
        <f>VLOOKUP($B96,'[4]Data - DO NOT PRINT'!$B$3:$G$297,5,FALSE)</f>
        <v>5.83</v>
      </c>
      <c r="G96" s="254" t="str">
        <f>IF(VLOOKUP($B96,'[4]Data - DO NOT PRINT'!$B$3:$G$297,6,FALSE)=0,"",VLOOKUP($B96,'[4]Data - DO NOT PRINT'!$B$3:$G$297,6,FALSE))</f>
        <v/>
      </c>
      <c r="H96" s="246"/>
      <c r="I96" s="247"/>
      <c r="J96" s="246"/>
      <c r="K96" s="246"/>
      <c r="L96" s="246"/>
      <c r="M96" s="246"/>
      <c r="N96" s="246"/>
    </row>
    <row r="97" spans="1:14" s="248" customFormat="1" ht="15" customHeight="1">
      <c r="A97" s="250">
        <v>2.1321020000000002</v>
      </c>
      <c r="B97" s="251" t="s">
        <v>2594</v>
      </c>
      <c r="C97" s="252" t="str">
        <f>VLOOKUP($B97,'[4]Data - DO NOT PRINT'!$B$3:$G$297,2,FALSE)</f>
        <v>Crew Toilet/Shower</v>
      </c>
      <c r="D97" s="253" t="str">
        <f>VLOOKUP($B97,'[4]Data - DO NOT PRINT'!$B$3:$G$297,3,FALSE)</f>
        <v>1st Platform</v>
      </c>
      <c r="E97" s="253">
        <f>VLOOKUP($B97,'[4]Data - DO NOT PRINT'!$B$3:$G$297,4,FALSE)</f>
        <v>3.5</v>
      </c>
      <c r="F97" s="253">
        <f>VLOOKUP($B97,'[4]Data - DO NOT PRINT'!$B$3:$G$297,5,FALSE)</f>
        <v>7.69</v>
      </c>
      <c r="G97" s="254" t="str">
        <f>IF(VLOOKUP($B97,'[4]Data - DO NOT PRINT'!$B$3:$G$297,6,FALSE)=0,"",VLOOKUP($B97,'[4]Data - DO NOT PRINT'!$B$3:$G$297,6,FALSE))</f>
        <v/>
      </c>
      <c r="H97" s="246"/>
      <c r="I97" s="247"/>
      <c r="J97" s="246"/>
      <c r="K97" s="246"/>
      <c r="L97" s="246"/>
      <c r="M97" s="246"/>
      <c r="N97" s="246"/>
    </row>
    <row r="98" spans="1:14" s="248" customFormat="1" ht="15" customHeight="1">
      <c r="A98" s="250">
        <v>2.1321020000000002</v>
      </c>
      <c r="B98" s="251" t="s">
        <v>2595</v>
      </c>
      <c r="C98" s="252" t="str">
        <f>VLOOKUP($B98,'[4]Data - DO NOT PRINT'!$B$3:$G$297,2,FALSE)</f>
        <v>Crew Toilet/Shower</v>
      </c>
      <c r="D98" s="253" t="str">
        <f>VLOOKUP($B98,'[4]Data - DO NOT PRINT'!$B$3:$G$297,3,FALSE)</f>
        <v>1st Platform</v>
      </c>
      <c r="E98" s="253">
        <f>VLOOKUP($B98,'[4]Data - DO NOT PRINT'!$B$3:$G$297,4,FALSE)</f>
        <v>2.66</v>
      </c>
      <c r="F98" s="253">
        <f>VLOOKUP($B98,'[4]Data - DO NOT PRINT'!$B$3:$G$297,5,FALSE)</f>
        <v>5.83</v>
      </c>
      <c r="G98" s="254" t="str">
        <f>IF(VLOOKUP($B98,'[4]Data - DO NOT PRINT'!$B$3:$G$297,6,FALSE)=0,"",VLOOKUP($B98,'[4]Data - DO NOT PRINT'!$B$3:$G$297,6,FALSE))</f>
        <v/>
      </c>
      <c r="H98" s="246"/>
      <c r="I98" s="247"/>
      <c r="J98" s="246"/>
      <c r="K98" s="246"/>
      <c r="L98" s="246"/>
      <c r="M98" s="246"/>
      <c r="N98" s="246"/>
    </row>
    <row r="99" spans="1:14" s="248" customFormat="1" ht="15" customHeight="1">
      <c r="A99" s="250">
        <v>2.1321020000000002</v>
      </c>
      <c r="B99" s="251" t="s">
        <v>2596</v>
      </c>
      <c r="C99" s="252" t="str">
        <f>VLOOKUP($B99,'[4]Data - DO NOT PRINT'!$B$3:$G$297,2,FALSE)</f>
        <v>Crew Toilet/Shower</v>
      </c>
      <c r="D99" s="253" t="str">
        <f>VLOOKUP($B99,'[4]Data - DO NOT PRINT'!$B$3:$G$297,3,FALSE)</f>
        <v>1st Platform</v>
      </c>
      <c r="E99" s="253">
        <f>VLOOKUP($B99,'[4]Data - DO NOT PRINT'!$B$3:$G$297,4,FALSE)</f>
        <v>2.66</v>
      </c>
      <c r="F99" s="253">
        <f>VLOOKUP($B99,'[4]Data - DO NOT PRINT'!$B$3:$G$297,5,FALSE)</f>
        <v>5.83</v>
      </c>
      <c r="G99" s="254" t="str">
        <f>IF(VLOOKUP($B99,'[4]Data - DO NOT PRINT'!$B$3:$G$297,6,FALSE)=0,"",VLOOKUP($B99,'[4]Data - DO NOT PRINT'!$B$3:$G$297,6,FALSE))</f>
        <v/>
      </c>
      <c r="H99" s="246"/>
      <c r="I99" s="247"/>
      <c r="J99" s="246"/>
      <c r="K99" s="246"/>
      <c r="L99" s="246"/>
      <c r="M99" s="246"/>
      <c r="N99" s="246"/>
    </row>
    <row r="100" spans="1:14" s="248" customFormat="1" ht="15" customHeight="1">
      <c r="A100" s="250">
        <v>2.1321020000000002</v>
      </c>
      <c r="B100" s="251" t="s">
        <v>2597</v>
      </c>
      <c r="C100" s="252" t="str">
        <f>VLOOKUP($B100,'[4]Data - DO NOT PRINT'!$B$3:$G$297,2,FALSE)</f>
        <v>Crew Toilet/Shower</v>
      </c>
      <c r="D100" s="253" t="str">
        <f>VLOOKUP($B100,'[4]Data - DO NOT PRINT'!$B$3:$G$297,3,FALSE)</f>
        <v>2nd Platform</v>
      </c>
      <c r="E100" s="253">
        <f>VLOOKUP($B100,'[4]Data - DO NOT PRINT'!$B$3:$G$297,4,FALSE)</f>
        <v>3.5</v>
      </c>
      <c r="F100" s="253">
        <f>VLOOKUP($B100,'[4]Data - DO NOT PRINT'!$B$3:$G$297,5,FALSE)</f>
        <v>7.69</v>
      </c>
      <c r="G100" s="254" t="str">
        <f>IF(VLOOKUP($B100,'[4]Data - DO NOT PRINT'!$B$3:$G$297,6,FALSE)=0,"",VLOOKUP($B100,'[4]Data - DO NOT PRINT'!$B$3:$G$297,6,FALSE))</f>
        <v/>
      </c>
      <c r="H100" s="246"/>
      <c r="I100" s="247"/>
      <c r="J100" s="246"/>
      <c r="K100" s="246"/>
      <c r="L100" s="246"/>
      <c r="M100" s="246"/>
      <c r="N100" s="246"/>
    </row>
    <row r="101" spans="1:14" s="248" customFormat="1" ht="15" customHeight="1">
      <c r="A101" s="250">
        <v>2.1321020000000002</v>
      </c>
      <c r="B101" s="251" t="s">
        <v>2598</v>
      </c>
      <c r="C101" s="252" t="str">
        <f>VLOOKUP($B101,'[4]Data - DO NOT PRINT'!$B$3:$G$297,2,FALSE)</f>
        <v>Crew Toilet/Shower</v>
      </c>
      <c r="D101" s="253" t="str">
        <f>VLOOKUP($B101,'[4]Data - DO NOT PRINT'!$B$3:$G$297,3,FALSE)</f>
        <v>2nd Platform</v>
      </c>
      <c r="E101" s="253">
        <f>VLOOKUP($B101,'[4]Data - DO NOT PRINT'!$B$3:$G$297,4,FALSE)</f>
        <v>2.66</v>
      </c>
      <c r="F101" s="253">
        <f>VLOOKUP($B101,'[4]Data - DO NOT PRINT'!$B$3:$G$297,5,FALSE)</f>
        <v>5.83</v>
      </c>
      <c r="G101" s="254" t="str">
        <f>IF(VLOOKUP($B101,'[4]Data - DO NOT PRINT'!$B$3:$G$297,6,FALSE)=0,"",VLOOKUP($B101,'[4]Data - DO NOT PRINT'!$B$3:$G$297,6,FALSE))</f>
        <v/>
      </c>
      <c r="H101" s="246"/>
      <c r="I101" s="247"/>
      <c r="J101" s="246"/>
      <c r="K101" s="246"/>
      <c r="L101" s="246"/>
      <c r="M101" s="246"/>
      <c r="N101" s="246"/>
    </row>
    <row r="102" spans="1:14" s="248" customFormat="1" ht="15" customHeight="1">
      <c r="A102" s="250">
        <v>2.1321020000000002</v>
      </c>
      <c r="B102" s="251" t="s">
        <v>2599</v>
      </c>
      <c r="C102" s="252" t="str">
        <f>VLOOKUP($B102,'[4]Data - DO NOT PRINT'!$B$3:$G$297,2,FALSE)</f>
        <v>Crew Toilet/Shower</v>
      </c>
      <c r="D102" s="253" t="str">
        <f>VLOOKUP($B102,'[4]Data - DO NOT PRINT'!$B$3:$G$297,3,FALSE)</f>
        <v>2nd Platform</v>
      </c>
      <c r="E102" s="253">
        <f>VLOOKUP($B102,'[4]Data - DO NOT PRINT'!$B$3:$G$297,4,FALSE)</f>
        <v>3.5</v>
      </c>
      <c r="F102" s="253">
        <f>VLOOKUP($B102,'[4]Data - DO NOT PRINT'!$B$3:$G$297,5,FALSE)</f>
        <v>7.69</v>
      </c>
      <c r="G102" s="254" t="str">
        <f>IF(VLOOKUP($B102,'[4]Data - DO NOT PRINT'!$B$3:$G$297,6,FALSE)=0,"",VLOOKUP($B102,'[4]Data - DO NOT PRINT'!$B$3:$G$297,6,FALSE))</f>
        <v/>
      </c>
      <c r="H102" s="246"/>
      <c r="I102" s="247"/>
      <c r="J102" s="246"/>
      <c r="K102" s="246"/>
      <c r="L102" s="246"/>
      <c r="M102" s="246"/>
      <c r="N102" s="246"/>
    </row>
    <row r="103" spans="1:14" s="248" customFormat="1" ht="15" customHeight="1">
      <c r="A103" s="250">
        <v>2.1321020000000002</v>
      </c>
      <c r="B103" s="251" t="s">
        <v>2600</v>
      </c>
      <c r="C103" s="252" t="str">
        <f>VLOOKUP($B103,'[4]Data - DO NOT PRINT'!$B$3:$G$297,2,FALSE)</f>
        <v>Crew Toilet/Shower</v>
      </c>
      <c r="D103" s="253" t="str">
        <f>VLOOKUP($B103,'[4]Data - DO NOT PRINT'!$B$3:$G$297,3,FALSE)</f>
        <v>2nd Platform</v>
      </c>
      <c r="E103" s="253">
        <f>VLOOKUP($B103,'[4]Data - DO NOT PRINT'!$B$3:$G$297,4,FALSE)</f>
        <v>3.5</v>
      </c>
      <c r="F103" s="253">
        <f>VLOOKUP($B103,'[4]Data - DO NOT PRINT'!$B$3:$G$297,5,FALSE)</f>
        <v>7.69</v>
      </c>
      <c r="G103" s="254" t="str">
        <f>IF(VLOOKUP($B103,'[4]Data - DO NOT PRINT'!$B$3:$G$297,6,FALSE)=0,"",VLOOKUP($B103,'[4]Data - DO NOT PRINT'!$B$3:$G$297,6,FALSE))</f>
        <v/>
      </c>
      <c r="H103" s="246"/>
      <c r="I103" s="247"/>
      <c r="J103" s="246"/>
      <c r="K103" s="246"/>
      <c r="L103" s="246"/>
      <c r="M103" s="246"/>
      <c r="N103" s="246"/>
    </row>
    <row r="104" spans="1:14" s="248" customFormat="1" ht="15" customHeight="1">
      <c r="A104" s="250">
        <v>2.1321029999999999</v>
      </c>
      <c r="B104" s="251" t="s">
        <v>2601</v>
      </c>
      <c r="C104" s="252" t="str">
        <f>VLOOKUP($B104,'[4]Data - DO NOT PRINT'!$B$3:$G$297,2,FALSE)</f>
        <v>Water Closet</v>
      </c>
      <c r="D104" s="253" t="str">
        <f>VLOOKUP($B104,'[4]Data - DO NOT PRINT'!$B$3:$G$297,3,FALSE)</f>
        <v>1st Platform</v>
      </c>
      <c r="E104" s="253">
        <f>VLOOKUP($B104,'[4]Data - DO NOT PRINT'!$B$3:$G$297,4,FALSE)</f>
        <v>1.96</v>
      </c>
      <c r="F104" s="253">
        <f>VLOOKUP($B104,'[4]Data - DO NOT PRINT'!$B$3:$G$297,5,FALSE)</f>
        <v>4.3899999999999997</v>
      </c>
      <c r="G104" s="254" t="str">
        <f>IF(VLOOKUP($B104,'[4]Data - DO NOT PRINT'!$B$3:$G$297,6,FALSE)=0,"",VLOOKUP($B104,'[4]Data - DO NOT PRINT'!$B$3:$G$297,6,FALSE))</f>
        <v/>
      </c>
      <c r="H104" s="246"/>
      <c r="I104" s="247"/>
      <c r="J104" s="246"/>
      <c r="K104" s="246"/>
      <c r="L104" s="246"/>
      <c r="M104" s="246"/>
      <c r="N104" s="246"/>
    </row>
    <row r="105" spans="1:14" s="248" customFormat="1" ht="15" customHeight="1">
      <c r="A105" s="280">
        <v>2.1321029999999999</v>
      </c>
      <c r="B105" s="251" t="s">
        <v>2602</v>
      </c>
      <c r="C105" s="252" t="str">
        <f>VLOOKUP($B105,'[4]Data - DO NOT PRINT'!$B$3:$G$297,2,FALSE)</f>
        <v>Water Closet</v>
      </c>
      <c r="D105" s="253" t="str">
        <f>VLOOKUP($B105,'[4]Data - DO NOT PRINT'!$B$3:$G$297,3,FALSE)</f>
        <v>1st Platform</v>
      </c>
      <c r="E105" s="253">
        <f>VLOOKUP($B105,'[4]Data - DO NOT PRINT'!$B$3:$G$297,4,FALSE)</f>
        <v>2.17</v>
      </c>
      <c r="F105" s="253">
        <f>VLOOKUP($B105,'[4]Data - DO NOT PRINT'!$B$3:$G$297,5,FALSE)</f>
        <v>5.63</v>
      </c>
      <c r="G105" s="254" t="str">
        <f>IF(VLOOKUP($B105,'[4]Data - DO NOT PRINT'!$B$3:$G$297,6,FALSE)=0,"",VLOOKUP($B105,'[4]Data - DO NOT PRINT'!$B$3:$G$297,6,FALSE))</f>
        <v/>
      </c>
      <c r="H105" s="246"/>
      <c r="I105" s="247"/>
      <c r="J105" s="246"/>
      <c r="K105" s="246"/>
      <c r="L105" s="246"/>
      <c r="M105" s="246"/>
      <c r="N105" s="246"/>
    </row>
    <row r="106" spans="1:14" s="248" customFormat="1" ht="15" customHeight="1">
      <c r="A106" s="250">
        <v>2.1321029999999999</v>
      </c>
      <c r="B106" s="251" t="s">
        <v>2603</v>
      </c>
      <c r="C106" s="252" t="str">
        <f>VLOOKUP($B106,'[4]Data - DO NOT PRINT'!$B$3:$G$297,2,FALSE)</f>
        <v>Water Closet</v>
      </c>
      <c r="D106" s="253" t="str">
        <f>VLOOKUP($B106,'[4]Data - DO NOT PRINT'!$B$3:$G$297,3,FALSE)</f>
        <v>2nd Platform</v>
      </c>
      <c r="E106" s="253">
        <f>VLOOKUP($B106,'[4]Data - DO NOT PRINT'!$B$3:$G$297,4,FALSE)</f>
        <v>2.21</v>
      </c>
      <c r="F106" s="253">
        <f>VLOOKUP($B106,'[4]Data - DO NOT PRINT'!$B$3:$G$297,5,FALSE)</f>
        <v>7.2</v>
      </c>
      <c r="G106" s="254" t="str">
        <f>IF(VLOOKUP($B106,'[4]Data - DO NOT PRINT'!$B$3:$G$297,6,FALSE)=0,"",VLOOKUP($B106,'[4]Data - DO NOT PRINT'!$B$3:$G$297,6,FALSE))</f>
        <v/>
      </c>
      <c r="H106" s="246"/>
      <c r="I106" s="247"/>
      <c r="J106" s="246"/>
      <c r="K106" s="246"/>
      <c r="L106" s="246"/>
      <c r="M106" s="246"/>
      <c r="N106" s="246"/>
    </row>
    <row r="107" spans="1:14" s="248" customFormat="1" ht="15" customHeight="1">
      <c r="A107" s="250">
        <v>2.1321029999999999</v>
      </c>
      <c r="B107" s="251" t="s">
        <v>2604</v>
      </c>
      <c r="C107" s="252" t="str">
        <f>VLOOKUP($B107,'[4]Data - DO NOT PRINT'!$B$3:$G$297,2,FALSE)</f>
        <v>Escape Trunk</v>
      </c>
      <c r="D107" s="253" t="str">
        <f>VLOOKUP($B107,'[4]Data - DO NOT PRINT'!$B$3:$G$297,3,FALSE)</f>
        <v>2nd Platform</v>
      </c>
      <c r="E107" s="253">
        <f>VLOOKUP($B107,'[4]Data - DO NOT PRINT'!$B$3:$G$297,4,FALSE)</f>
        <v>2.4500000000000002</v>
      </c>
      <c r="F107" s="253">
        <f>VLOOKUP($B107,'[4]Data - DO NOT PRINT'!$B$3:$G$297,5,FALSE)</f>
        <v>13.29</v>
      </c>
      <c r="G107" s="254" t="str">
        <f>IF(VLOOKUP($B107,'[4]Data - DO NOT PRINT'!$B$3:$G$297,6,FALSE)=0,"",VLOOKUP($B107,'[4]Data - DO NOT PRINT'!$B$3:$G$297,6,FALSE))</f>
        <v>Main Deck</v>
      </c>
      <c r="H107" s="246"/>
      <c r="I107" s="247"/>
      <c r="J107" s="246"/>
      <c r="K107" s="246"/>
      <c r="L107" s="246"/>
      <c r="M107" s="246"/>
      <c r="N107" s="246"/>
    </row>
    <row r="108" spans="1:14" s="248" customFormat="1" ht="15" customHeight="1">
      <c r="A108" s="250">
        <v>2.1321029999999999</v>
      </c>
      <c r="B108" s="251" t="s">
        <v>2605</v>
      </c>
      <c r="C108" s="252" t="str">
        <f>VLOOKUP($B108,'[4]Data - DO NOT PRINT'!$B$3:$G$297,2,FALSE)</f>
        <v>Escape Trunk</v>
      </c>
      <c r="D108" s="253" t="str">
        <f>VLOOKUP($B108,'[4]Data - DO NOT PRINT'!$B$3:$G$297,3,FALSE)</f>
        <v>Tank Top</v>
      </c>
      <c r="E108" s="253">
        <f>VLOOKUP($B108,'[4]Data - DO NOT PRINT'!$B$3:$G$297,4,FALSE)</f>
        <v>1.68</v>
      </c>
      <c r="F108" s="253">
        <f>VLOOKUP($B108,'[4]Data - DO NOT PRINT'!$B$3:$G$297,5,FALSE)</f>
        <v>14.51</v>
      </c>
      <c r="G108" s="254" t="str">
        <f>IF(VLOOKUP($B108,'[4]Data - DO NOT PRINT'!$B$3:$G$297,6,FALSE)=0,"",VLOOKUP($B108,'[4]Data - DO NOT PRINT'!$B$3:$G$297,6,FALSE))</f>
        <v>Main Deck</v>
      </c>
      <c r="H108" s="246"/>
      <c r="I108" s="247"/>
      <c r="J108" s="246"/>
      <c r="K108" s="246"/>
      <c r="L108" s="246"/>
      <c r="M108" s="246"/>
      <c r="N108" s="246"/>
    </row>
    <row r="109" spans="1:14" s="248" customFormat="1" ht="15" customHeight="1">
      <c r="A109" s="250">
        <v>2.1321029999999999</v>
      </c>
      <c r="B109" s="251" t="s">
        <v>2606</v>
      </c>
      <c r="C109" s="252" t="str">
        <f>VLOOKUP($B109,'[4]Data - DO NOT PRINT'!$B$3:$G$297,2,FALSE)</f>
        <v>Escape Trunk</v>
      </c>
      <c r="D109" s="253" t="str">
        <f>VLOOKUP($B109,'[4]Data - DO NOT PRINT'!$B$3:$G$297,3,FALSE)</f>
        <v>Tank Top</v>
      </c>
      <c r="E109" s="253">
        <f>VLOOKUP($B109,'[4]Data - DO NOT PRINT'!$B$3:$G$297,4,FALSE)</f>
        <v>1.18</v>
      </c>
      <c r="F109" s="253">
        <f>VLOOKUP($B109,'[4]Data - DO NOT PRINT'!$B$3:$G$297,5,FALSE)</f>
        <v>9.93</v>
      </c>
      <c r="G109" s="254" t="str">
        <f>IF(VLOOKUP($B109,'[4]Data - DO NOT PRINT'!$B$3:$G$297,6,FALSE)=0,"",VLOOKUP($B109,'[4]Data - DO NOT PRINT'!$B$3:$G$297,6,FALSE))</f>
        <v>Main Deck</v>
      </c>
      <c r="H109" s="246"/>
      <c r="I109" s="247"/>
      <c r="J109" s="246"/>
      <c r="K109" s="246"/>
      <c r="L109" s="246"/>
      <c r="M109" s="246"/>
      <c r="N109" s="246"/>
    </row>
    <row r="110" spans="1:14" s="248" customFormat="1" ht="15" customHeight="1">
      <c r="A110" s="250">
        <v>2.1321029999999999</v>
      </c>
      <c r="B110" s="251" t="s">
        <v>2607</v>
      </c>
      <c r="C110" s="252" t="str">
        <f>VLOOKUP($B110,'[4]Data - DO NOT PRINT'!$B$3:$G$297,2,FALSE)</f>
        <v>Escape Trunk</v>
      </c>
      <c r="D110" s="253" t="str">
        <f>VLOOKUP($B110,'[4]Data - DO NOT PRINT'!$B$3:$G$297,3,FALSE)</f>
        <v>Tank Top</v>
      </c>
      <c r="E110" s="253">
        <f>VLOOKUP($B110,'[4]Data - DO NOT PRINT'!$B$3:$G$297,4,FALSE)</f>
        <v>1.0900000000000001</v>
      </c>
      <c r="F110" s="253">
        <f>VLOOKUP($B110,'[4]Data - DO NOT PRINT'!$B$3:$G$297,5,FALSE)</f>
        <v>9.17</v>
      </c>
      <c r="G110" s="254" t="str">
        <f>IF(VLOOKUP($B110,'[4]Data - DO NOT PRINT'!$B$3:$G$297,6,FALSE)=0,"",VLOOKUP($B110,'[4]Data - DO NOT PRINT'!$B$3:$G$297,6,FALSE))</f>
        <v>Main Deck</v>
      </c>
      <c r="H110" s="246"/>
      <c r="I110" s="247"/>
      <c r="J110" s="246"/>
      <c r="K110" s="246"/>
      <c r="L110" s="246"/>
      <c r="M110" s="246"/>
      <c r="N110" s="246"/>
    </row>
    <row r="111" spans="1:14" s="248" customFormat="1" ht="15" customHeight="1" thickBot="1">
      <c r="A111" s="257">
        <v>2.13306</v>
      </c>
      <c r="B111" s="258" t="s">
        <v>2608</v>
      </c>
      <c r="C111" s="259" t="str">
        <f>VLOOKUP($B111,'[4]Data - DO NOT PRINT'!$B$3:$G$297,2,FALSE)</f>
        <v>Crew Lounge</v>
      </c>
      <c r="D111" s="260" t="str">
        <f>VLOOKUP($B111,'[4]Data - DO NOT PRINT'!$B$3:$G$297,3,FALSE)</f>
        <v>2nd Platform</v>
      </c>
      <c r="E111" s="260">
        <f>VLOOKUP($B111,'[4]Data - DO NOT PRINT'!$B$3:$G$297,4,FALSE)</f>
        <v>20.420000000000002</v>
      </c>
      <c r="F111" s="260">
        <f>VLOOKUP($B111,'[4]Data - DO NOT PRINT'!$B$3:$G$297,5,FALSE)</f>
        <v>72.09</v>
      </c>
      <c r="G111" s="261" t="str">
        <f>IF(VLOOKUP($B111,'[4]Data - DO NOT PRINT'!$B$3:$G$297,6,FALSE)=0,"",VLOOKUP($B111,'[4]Data - DO NOT PRINT'!$B$3:$G$297,6,FALSE))</f>
        <v/>
      </c>
      <c r="H111" s="246"/>
      <c r="I111" s="247"/>
      <c r="J111" s="246"/>
      <c r="K111" s="246"/>
      <c r="L111" s="246"/>
      <c r="M111" s="246"/>
      <c r="N111" s="246"/>
    </row>
    <row r="112" spans="1:14" s="248" customFormat="1" ht="15" customHeight="1" thickBot="1">
      <c r="A112" s="262"/>
      <c r="B112" s="431" t="s">
        <v>2609</v>
      </c>
      <c r="C112" s="431"/>
      <c r="D112" s="432"/>
      <c r="E112" s="263">
        <f>SUBTOTAL(9,E89:E111)</f>
        <v>241.54000000000002</v>
      </c>
      <c r="F112" s="263">
        <f>SUBTOTAL(9,F89:F111)</f>
        <v>747.81000000000029</v>
      </c>
      <c r="G112" s="264"/>
      <c r="H112" s="246"/>
      <c r="I112" s="265"/>
      <c r="J112" s="266"/>
      <c r="K112" s="267"/>
      <c r="L112" s="268"/>
      <c r="M112" s="246"/>
      <c r="N112" s="246"/>
    </row>
    <row r="113" spans="1:14" s="248" customFormat="1" ht="15" customHeight="1" thickBot="1">
      <c r="A113" s="275">
        <v>2.1530100000000001</v>
      </c>
      <c r="B113" s="276" t="s">
        <v>2610</v>
      </c>
      <c r="C113" s="277" t="str">
        <f>VLOOKUP($B113,'[4]Data - DO NOT PRINT'!$B$3:$G$297,2,FALSE)</f>
        <v>Physical Fitness Room</v>
      </c>
      <c r="D113" s="278" t="str">
        <f>VLOOKUP($B113,'[4]Data - DO NOT PRINT'!$B$3:$G$297,3,FALSE)</f>
        <v>2nd Platform</v>
      </c>
      <c r="E113" s="278">
        <f>VLOOKUP($B113,'[4]Data - DO NOT PRINT'!$B$3:$G$297,4,FALSE)</f>
        <v>11.04</v>
      </c>
      <c r="F113" s="278">
        <f>VLOOKUP($B113,'[4]Data - DO NOT PRINT'!$B$3:$G$297,5,FALSE)</f>
        <v>34.32</v>
      </c>
      <c r="G113" s="279" t="str">
        <f>IF(VLOOKUP($B113,'[4]Data - DO NOT PRINT'!$B$3:$G$297,6,FALSE)=0,"",VLOOKUP($B113,'[4]Data - DO NOT PRINT'!$B$3:$G$297,6,FALSE))</f>
        <v/>
      </c>
      <c r="H113" s="246"/>
      <c r="I113" s="247"/>
      <c r="J113" s="246"/>
      <c r="K113" s="246"/>
      <c r="L113" s="246"/>
      <c r="M113" s="246"/>
      <c r="N113" s="246"/>
    </row>
    <row r="114" spans="1:14" s="248" customFormat="1" ht="15" customHeight="1" thickBot="1">
      <c r="A114" s="262"/>
      <c r="B114" s="431" t="s">
        <v>2611</v>
      </c>
      <c r="C114" s="431"/>
      <c r="D114" s="432"/>
      <c r="E114" s="263">
        <f>SUBTOTAL(9,E113)</f>
        <v>11.04</v>
      </c>
      <c r="F114" s="263">
        <f>SUBTOTAL(9,F113)</f>
        <v>34.32</v>
      </c>
      <c r="G114" s="264"/>
      <c r="H114" s="246"/>
      <c r="I114" s="265"/>
      <c r="J114" s="266"/>
      <c r="K114" s="267"/>
      <c r="L114" s="268"/>
      <c r="M114" s="246"/>
      <c r="N114" s="246"/>
    </row>
    <row r="115" spans="1:14" s="248" customFormat="1" ht="15" customHeight="1">
      <c r="A115" s="269">
        <v>2.2110099999999999</v>
      </c>
      <c r="B115" s="270" t="s">
        <v>2612</v>
      </c>
      <c r="C115" s="271" t="str">
        <f>VLOOKUP($B115,'[4]Data - DO NOT PRINT'!$B$3:$G$297,2,FALSE)</f>
        <v>Wardroom</v>
      </c>
      <c r="D115" s="272" t="str">
        <f>VLOOKUP($B115,'[4]Data - DO NOT PRINT'!$B$3:$G$297,3,FALSE)</f>
        <v>1st Platform</v>
      </c>
      <c r="E115" s="272">
        <f>VLOOKUP($B115,'[4]Data - DO NOT PRINT'!$B$3:$G$297,4,FALSE)</f>
        <v>34.619999999999997</v>
      </c>
      <c r="F115" s="272">
        <f>VLOOKUP($B115,'[4]Data - DO NOT PRINT'!$B$3:$G$297,5,FALSE)</f>
        <v>95.65</v>
      </c>
      <c r="G115" s="273" t="str">
        <f>IF(VLOOKUP($B115,'[4]Data - DO NOT PRINT'!$B$3:$G$297,6,FALSE)=0,"",VLOOKUP($B115,'[4]Data - DO NOT PRINT'!$B$3:$G$297,6,FALSE))</f>
        <v/>
      </c>
      <c r="H115" s="246"/>
      <c r="I115" s="247"/>
      <c r="J115" s="246"/>
      <c r="K115" s="246"/>
      <c r="L115" s="246"/>
      <c r="M115" s="246"/>
      <c r="N115" s="246"/>
    </row>
    <row r="116" spans="1:14" s="248" customFormat="1" ht="15" customHeight="1">
      <c r="A116" s="250">
        <v>2.2120199999999999</v>
      </c>
      <c r="B116" s="251" t="s">
        <v>2613</v>
      </c>
      <c r="C116" s="252" t="str">
        <f>VLOOKUP($B116,'[4]Data - DO NOT PRINT'!$B$3:$G$297,2,FALSE)</f>
        <v>Chief Petty Officer Messroom &amp; Lounge</v>
      </c>
      <c r="D116" s="253" t="str">
        <f>VLOOKUP($B116,'[4]Data - DO NOT PRINT'!$B$3:$G$297,3,FALSE)</f>
        <v>1st Platform</v>
      </c>
      <c r="E116" s="253">
        <f>VLOOKUP($B116,'[4]Data - DO NOT PRINT'!$B$3:$G$297,4,FALSE)</f>
        <v>27.39</v>
      </c>
      <c r="F116" s="253">
        <f>VLOOKUP($B116,'[4]Data - DO NOT PRINT'!$B$3:$G$297,5,FALSE)</f>
        <v>75.59</v>
      </c>
      <c r="G116" s="254" t="str">
        <f>IF(VLOOKUP($B116,'[4]Data - DO NOT PRINT'!$B$3:$G$297,6,FALSE)=0,"",VLOOKUP($B116,'[4]Data - DO NOT PRINT'!$B$3:$G$297,6,FALSE))</f>
        <v/>
      </c>
      <c r="H116" s="246"/>
      <c r="I116" s="247"/>
      <c r="J116" s="246"/>
      <c r="K116" s="246"/>
      <c r="L116" s="246"/>
      <c r="M116" s="246"/>
      <c r="N116" s="246"/>
    </row>
    <row r="117" spans="1:14" s="248" customFormat="1" ht="15" customHeight="1" thickBot="1">
      <c r="A117" s="257">
        <v>2.21305</v>
      </c>
      <c r="B117" s="258" t="s">
        <v>2614</v>
      </c>
      <c r="C117" s="259" t="str">
        <f>VLOOKUP($B117,'[4]Data - DO NOT PRINT'!$B$3:$G$297,2,FALSE)</f>
        <v>Crew Messroom</v>
      </c>
      <c r="D117" s="260" t="str">
        <f>VLOOKUP($B117,'[4]Data - DO NOT PRINT'!$B$3:$G$297,3,FALSE)</f>
        <v>1st Platform</v>
      </c>
      <c r="E117" s="260">
        <f>VLOOKUP($B117,'[4]Data - DO NOT PRINT'!$B$3:$G$297,4,FALSE)</f>
        <v>79.36</v>
      </c>
      <c r="F117" s="260">
        <f>VLOOKUP($B117,'[4]Data - DO NOT PRINT'!$B$3:$G$297,5,FALSE)</f>
        <v>213.64</v>
      </c>
      <c r="G117" s="261" t="str">
        <f>IF(VLOOKUP($B117,'[4]Data - DO NOT PRINT'!$B$3:$G$297,6,FALSE)=0,"",VLOOKUP($B117,'[4]Data - DO NOT PRINT'!$B$3:$G$297,6,FALSE))</f>
        <v/>
      </c>
      <c r="H117" s="246"/>
      <c r="I117" s="247"/>
      <c r="J117" s="246"/>
      <c r="K117" s="246"/>
      <c r="L117" s="246"/>
      <c r="M117" s="246"/>
      <c r="N117" s="246"/>
    </row>
    <row r="118" spans="1:14" s="248" customFormat="1" ht="15" customHeight="1" thickBot="1">
      <c r="A118" s="262"/>
      <c r="B118" s="431" t="s">
        <v>2615</v>
      </c>
      <c r="C118" s="431"/>
      <c r="D118" s="432"/>
      <c r="E118" s="263">
        <f>SUBTOTAL(9,E115:E117)</f>
        <v>141.37</v>
      </c>
      <c r="F118" s="263">
        <f>SUBTOTAL(9,F115:F117)</f>
        <v>384.88</v>
      </c>
      <c r="G118" s="264"/>
      <c r="H118" s="246"/>
      <c r="I118" s="265"/>
      <c r="J118" s="266"/>
      <c r="K118" s="267"/>
      <c r="L118" s="268"/>
      <c r="M118" s="246"/>
      <c r="N118" s="246"/>
    </row>
    <row r="119" spans="1:14" s="248" customFormat="1" ht="15" customHeight="1">
      <c r="A119" s="281">
        <v>2.222</v>
      </c>
      <c r="B119" s="270" t="s">
        <v>2616</v>
      </c>
      <c r="C119" s="271" t="str">
        <f>VLOOKUP($B119,'[4]Data - DO NOT PRINT'!$B$3:$G$297,2,FALSE)</f>
        <v>Galley</v>
      </c>
      <c r="D119" s="272" t="str">
        <f>VLOOKUP($B119,'[4]Data - DO NOT PRINT'!$B$3:$G$297,3,FALSE)</f>
        <v>1st Platform</v>
      </c>
      <c r="E119" s="272">
        <f>VLOOKUP($B119,'[4]Data - DO NOT PRINT'!$B$3:$G$297,4,FALSE)</f>
        <v>40.74</v>
      </c>
      <c r="F119" s="272">
        <f>VLOOKUP($B119,'[4]Data - DO NOT PRINT'!$B$3:$G$297,5,FALSE)</f>
        <v>113.77</v>
      </c>
      <c r="G119" s="273" t="str">
        <f>IF(VLOOKUP($B119,'[4]Data - DO NOT PRINT'!$B$3:$G$297,6,FALSE)=0,"",VLOOKUP($B119,'[4]Data - DO NOT PRINT'!$B$3:$G$297,6,FALSE))</f>
        <v/>
      </c>
      <c r="H119" s="246"/>
      <c r="I119" s="247"/>
      <c r="J119" s="246"/>
      <c r="K119" s="246"/>
      <c r="L119" s="246"/>
      <c r="M119" s="246"/>
      <c r="N119" s="246"/>
    </row>
    <row r="120" spans="1:14" s="248" customFormat="1" ht="15" customHeight="1" thickBot="1">
      <c r="A120" s="257">
        <v>2.2240000000000002</v>
      </c>
      <c r="B120" s="258" t="s">
        <v>2617</v>
      </c>
      <c r="C120" s="259" t="str">
        <f>VLOOKUP($B120,'[4]Data - DO NOT PRINT'!$B$3:$G$297,2,FALSE)</f>
        <v>Scullery</v>
      </c>
      <c r="D120" s="260" t="str">
        <f>VLOOKUP($B120,'[4]Data - DO NOT PRINT'!$B$3:$G$297,3,FALSE)</f>
        <v>1st Platform</v>
      </c>
      <c r="E120" s="260">
        <f>VLOOKUP($B120,'[4]Data - DO NOT PRINT'!$B$3:$G$297,4,FALSE)</f>
        <v>8.3699999999999992</v>
      </c>
      <c r="F120" s="260">
        <f>VLOOKUP($B120,'[4]Data - DO NOT PRINT'!$B$3:$G$297,5,FALSE)</f>
        <v>22.11</v>
      </c>
      <c r="G120" s="261" t="str">
        <f>IF(VLOOKUP($B120,'[4]Data - DO NOT PRINT'!$B$3:$G$297,6,FALSE)=0,"",VLOOKUP($B120,'[4]Data - DO NOT PRINT'!$B$3:$G$297,6,FALSE))</f>
        <v/>
      </c>
      <c r="H120" s="246"/>
      <c r="I120" s="247"/>
      <c r="J120" s="246"/>
      <c r="K120" s="246"/>
      <c r="L120" s="246"/>
      <c r="M120" s="246"/>
      <c r="N120" s="246"/>
    </row>
    <row r="121" spans="1:14" s="248" customFormat="1" ht="15" customHeight="1" thickBot="1">
      <c r="A121" s="262"/>
      <c r="B121" s="431" t="s">
        <v>2618</v>
      </c>
      <c r="C121" s="431"/>
      <c r="D121" s="432"/>
      <c r="E121" s="263">
        <f>SUBTOTAL(9,E119:E120)</f>
        <v>49.11</v>
      </c>
      <c r="F121" s="263">
        <f>SUBTOTAL(9,F119:F120)</f>
        <v>135.88</v>
      </c>
      <c r="G121" s="264"/>
      <c r="H121" s="246"/>
      <c r="I121" s="265"/>
      <c r="J121" s="266"/>
      <c r="K121" s="267"/>
      <c r="L121" s="268"/>
      <c r="M121" s="246"/>
      <c r="N121" s="246"/>
    </row>
    <row r="122" spans="1:14" s="248" customFormat="1" ht="15" customHeight="1" thickBot="1">
      <c r="A122" s="275">
        <v>2.2330100000000002</v>
      </c>
      <c r="B122" s="276" t="s">
        <v>2619</v>
      </c>
      <c r="C122" s="277" t="str">
        <f>VLOOKUP($B122,'[4]Data - DO NOT PRINT'!$B$3:$G$297,2,FALSE)</f>
        <v>Dry Provision Storeroom</v>
      </c>
      <c r="D122" s="278" t="str">
        <f>VLOOKUP($B122,'[4]Data - DO NOT PRINT'!$B$3:$G$297,3,FALSE)</f>
        <v>1st Platform</v>
      </c>
      <c r="E122" s="278">
        <f>VLOOKUP($B122,'[4]Data - DO NOT PRINT'!$B$3:$G$297,4,FALSE)</f>
        <v>27.33</v>
      </c>
      <c r="F122" s="278">
        <f>VLOOKUP($B122,'[4]Data - DO NOT PRINT'!$B$3:$G$297,5,FALSE)</f>
        <v>79.28</v>
      </c>
      <c r="G122" s="279" t="str">
        <f>IF(VLOOKUP($B122,'[4]Data - DO NOT PRINT'!$B$3:$G$297,6,FALSE)=0,"",VLOOKUP($B122,'[4]Data - DO NOT PRINT'!$B$3:$G$297,6,FALSE))</f>
        <v/>
      </c>
      <c r="H122" s="246"/>
      <c r="I122" s="247"/>
      <c r="J122" s="246"/>
      <c r="K122" s="246"/>
      <c r="L122" s="246"/>
      <c r="M122" s="246"/>
      <c r="N122" s="246"/>
    </row>
    <row r="123" spans="1:14" s="248" customFormat="1" ht="15" customHeight="1" thickBot="1">
      <c r="A123" s="262"/>
      <c r="B123" s="431" t="s">
        <v>2620</v>
      </c>
      <c r="C123" s="431"/>
      <c r="D123" s="432"/>
      <c r="E123" s="263">
        <f>SUBTOTAL(9,E122)</f>
        <v>27.33</v>
      </c>
      <c r="F123" s="263">
        <f>SUBTOTAL(9,F122)</f>
        <v>79.28</v>
      </c>
      <c r="G123" s="264"/>
      <c r="H123" s="246"/>
      <c r="I123" s="265"/>
      <c r="J123" s="266"/>
      <c r="K123" s="267"/>
      <c r="L123" s="268"/>
      <c r="M123" s="246"/>
      <c r="N123" s="246"/>
    </row>
    <row r="124" spans="1:14" s="248" customFormat="1" ht="15" customHeight="1" thickBot="1">
      <c r="A124" s="275">
        <v>2.31012</v>
      </c>
      <c r="B124" s="276" t="s">
        <v>2621</v>
      </c>
      <c r="C124" s="277" t="str">
        <f>VLOOKUP($B124,'[4]Data - DO NOT PRINT'!$B$3:$G$297,2,FALSE)</f>
        <v>Medical Treatment Room</v>
      </c>
      <c r="D124" s="278" t="str">
        <f>VLOOKUP($B124,'[4]Data - DO NOT PRINT'!$B$3:$G$297,3,FALSE)</f>
        <v>1st Platform</v>
      </c>
      <c r="E124" s="278">
        <f>VLOOKUP($B124,'[4]Data - DO NOT PRINT'!$B$3:$G$297,4,FALSE)</f>
        <v>26.29</v>
      </c>
      <c r="F124" s="278">
        <f>VLOOKUP($B124,'[4]Data - DO NOT PRINT'!$B$3:$G$297,5,FALSE)</f>
        <v>73.180000000000007</v>
      </c>
      <c r="G124" s="279" t="str">
        <f>IF(VLOOKUP($B124,'[4]Data - DO NOT PRINT'!$B$3:$G$297,6,FALSE)=0,"",VLOOKUP($B124,'[4]Data - DO NOT PRINT'!$B$3:$G$297,6,FALSE))</f>
        <v/>
      </c>
      <c r="H124" s="246"/>
      <c r="I124" s="247"/>
      <c r="J124" s="246"/>
      <c r="K124" s="246"/>
      <c r="L124" s="246"/>
      <c r="M124" s="246"/>
      <c r="N124" s="246"/>
    </row>
    <row r="125" spans="1:14" s="248" customFormat="1" ht="15" customHeight="1" thickBot="1">
      <c r="A125" s="262"/>
      <c r="B125" s="431" t="s">
        <v>2622</v>
      </c>
      <c r="C125" s="431"/>
      <c r="D125" s="432"/>
      <c r="E125" s="263">
        <f>SUBTOTAL(9,E124)</f>
        <v>26.29</v>
      </c>
      <c r="F125" s="263">
        <f>SUBTOTAL(9,F124)</f>
        <v>73.180000000000007</v>
      </c>
      <c r="G125" s="264"/>
      <c r="H125" s="246"/>
      <c r="I125" s="265"/>
      <c r="J125" s="266"/>
      <c r="K125" s="267"/>
      <c r="L125" s="268"/>
      <c r="M125" s="246"/>
      <c r="N125" s="246"/>
    </row>
    <row r="126" spans="1:14" s="248" customFormat="1" ht="15" customHeight="1" thickBot="1">
      <c r="A126" s="275">
        <v>2.4100600000000001</v>
      </c>
      <c r="B126" s="276" t="s">
        <v>2623</v>
      </c>
      <c r="C126" s="277" t="str">
        <f>VLOOKUP($B126,'[4]Data - DO NOT PRINT'!$B$3:$G$297,2,FALSE)</f>
        <v>Ships Store Storeroom</v>
      </c>
      <c r="D126" s="278" t="str">
        <f>VLOOKUP($B126,'[4]Data - DO NOT PRINT'!$B$3:$G$297,3,FALSE)</f>
        <v>2nd Platform</v>
      </c>
      <c r="E126" s="278">
        <f>VLOOKUP($B126,'[4]Data - DO NOT PRINT'!$B$3:$G$297,4,FALSE)</f>
        <v>6.66</v>
      </c>
      <c r="F126" s="278">
        <f>VLOOKUP($B126,'[4]Data - DO NOT PRINT'!$B$3:$G$297,5,FALSE)</f>
        <v>18.82</v>
      </c>
      <c r="G126" s="279" t="str">
        <f>IF(VLOOKUP($B126,'[4]Data - DO NOT PRINT'!$B$3:$G$297,6,FALSE)=0,"",VLOOKUP($B126,'[4]Data - DO NOT PRINT'!$B$3:$G$297,6,FALSE))</f>
        <v/>
      </c>
      <c r="H126" s="246"/>
      <c r="I126" s="247"/>
      <c r="J126" s="246"/>
      <c r="K126" s="246"/>
      <c r="L126" s="246"/>
      <c r="M126" s="246"/>
      <c r="N126" s="246"/>
    </row>
    <row r="127" spans="1:14" s="248" customFormat="1" ht="15" customHeight="1" thickBot="1">
      <c r="A127" s="262"/>
      <c r="B127" s="431" t="s">
        <v>2624</v>
      </c>
      <c r="C127" s="431"/>
      <c r="D127" s="432"/>
      <c r="E127" s="263">
        <f>SUBTOTAL(9,E126)</f>
        <v>6.66</v>
      </c>
      <c r="F127" s="263">
        <f>SUBTOTAL(9,F126)</f>
        <v>18.82</v>
      </c>
      <c r="G127" s="264"/>
      <c r="H127" s="246"/>
      <c r="I127" s="265"/>
      <c r="J127" s="266"/>
      <c r="K127" s="267"/>
      <c r="L127" s="268"/>
      <c r="M127" s="246"/>
      <c r="N127" s="246"/>
    </row>
    <row r="128" spans="1:14" s="248" customFormat="1" ht="15" customHeight="1" thickBot="1">
      <c r="A128" s="275">
        <v>2.42001</v>
      </c>
      <c r="B128" s="276" t="s">
        <v>2625</v>
      </c>
      <c r="C128" s="277" t="str">
        <f>VLOOKUP($B128,'[4]Data - DO NOT PRINT'!$B$3:$G$297,2,FALSE)</f>
        <v>Laundry</v>
      </c>
      <c r="D128" s="278" t="str">
        <f>VLOOKUP($B128,'[4]Data - DO NOT PRINT'!$B$3:$G$297,3,FALSE)</f>
        <v>1st Platform</v>
      </c>
      <c r="E128" s="278">
        <f>VLOOKUP($B128,'[4]Data - DO NOT PRINT'!$B$3:$G$297,4,FALSE)</f>
        <v>12.34</v>
      </c>
      <c r="F128" s="278">
        <f>VLOOKUP($B128,'[4]Data - DO NOT PRINT'!$B$3:$G$297,5,FALSE)</f>
        <v>55.76</v>
      </c>
      <c r="G128" s="279" t="str">
        <f>IF(VLOOKUP($B128,'[4]Data - DO NOT PRINT'!$B$3:$G$297,6,FALSE)=0,"",VLOOKUP($B128,'[4]Data - DO NOT PRINT'!$B$3:$G$297,6,FALSE))</f>
        <v/>
      </c>
      <c r="H128" s="246"/>
      <c r="I128" s="247"/>
      <c r="J128" s="246"/>
      <c r="K128" s="246"/>
      <c r="L128" s="246"/>
      <c r="M128" s="246"/>
      <c r="N128" s="246"/>
    </row>
    <row r="129" spans="1:14" s="248" customFormat="1" ht="15" customHeight="1" thickBot="1">
      <c r="A129" s="262"/>
      <c r="B129" s="431" t="s">
        <v>2626</v>
      </c>
      <c r="C129" s="431"/>
      <c r="D129" s="432"/>
      <c r="E129" s="263">
        <f>SUBTOTAL(9,E128)</f>
        <v>12.34</v>
      </c>
      <c r="F129" s="263">
        <f>SUBTOTAL(9,F128)</f>
        <v>55.76</v>
      </c>
      <c r="G129" s="264"/>
      <c r="H129" s="246"/>
      <c r="I129" s="265"/>
      <c r="J129" s="266"/>
      <c r="K129" s="267"/>
      <c r="L129" s="268"/>
      <c r="M129" s="246"/>
      <c r="N129" s="246"/>
    </row>
    <row r="130" spans="1:14" s="248" customFormat="1" ht="15" customHeight="1" thickBot="1">
      <c r="A130" s="275">
        <v>2.51003</v>
      </c>
      <c r="B130" s="276" t="s">
        <v>2627</v>
      </c>
      <c r="C130" s="277" t="str">
        <f>VLOOKUP($B130,'[4]Data - DO NOT PRINT'!$B$3:$G$297,2,FALSE)</f>
        <v>Baggage Room</v>
      </c>
      <c r="D130" s="278" t="str">
        <f>VLOOKUP($B130,'[4]Data - DO NOT PRINT'!$B$3:$G$297,3,FALSE)</f>
        <v>2nd Platform</v>
      </c>
      <c r="E130" s="278">
        <f>VLOOKUP($B130,'[4]Data - DO NOT PRINT'!$B$3:$G$297,4,FALSE)</f>
        <v>2.46</v>
      </c>
      <c r="F130" s="278">
        <f>VLOOKUP($B130,'[4]Data - DO NOT PRINT'!$B$3:$G$297,5,FALSE)</f>
        <v>11</v>
      </c>
      <c r="G130" s="279" t="str">
        <f>IF(VLOOKUP($B130,'[4]Data - DO NOT PRINT'!$B$3:$G$297,6,FALSE)=0,"",VLOOKUP($B130,'[4]Data - DO NOT PRINT'!$B$3:$G$297,6,FALSE))</f>
        <v/>
      </c>
      <c r="H130" s="246"/>
      <c r="I130" s="247"/>
      <c r="J130" s="246"/>
      <c r="K130" s="246"/>
      <c r="L130" s="246"/>
      <c r="M130" s="246"/>
      <c r="N130" s="246"/>
    </row>
    <row r="131" spans="1:14" s="248" customFormat="1" ht="15" customHeight="1" thickBot="1">
      <c r="A131" s="262"/>
      <c r="B131" s="431" t="s">
        <v>2628</v>
      </c>
      <c r="C131" s="431"/>
      <c r="D131" s="432"/>
      <c r="E131" s="263">
        <f>SUBTOTAL(9,E130)</f>
        <v>2.46</v>
      </c>
      <c r="F131" s="263">
        <f>SUBTOTAL(9,F130)</f>
        <v>11</v>
      </c>
      <c r="G131" s="264"/>
      <c r="H131" s="246"/>
      <c r="I131" s="265"/>
      <c r="J131" s="266"/>
      <c r="K131" s="267"/>
      <c r="L131" s="268"/>
      <c r="M131" s="246"/>
      <c r="N131" s="246"/>
    </row>
    <row r="132" spans="1:14" s="248" customFormat="1" ht="15" customHeight="1">
      <c r="A132" s="269">
        <v>2.6100599999999998</v>
      </c>
      <c r="B132" s="270" t="s">
        <v>2629</v>
      </c>
      <c r="C132" s="271" t="str">
        <f>VLOOKUP($B132,'[4]Data - DO NOT PRINT'!$B$3:$G$297,2,FALSE)</f>
        <v>Decontamination Station (Outer Undressing Area)</v>
      </c>
      <c r="D132" s="272" t="str">
        <f>VLOOKUP($B132,'[4]Data - DO NOT PRINT'!$B$3:$G$297,3,FALSE)</f>
        <v>Main Deck</v>
      </c>
      <c r="E132" s="272">
        <f>VLOOKUP($B132,'[4]Data - DO NOT PRINT'!$B$3:$G$297,4,FALSE)</f>
        <v>4.1500000000000004</v>
      </c>
      <c r="F132" s="272">
        <f>VLOOKUP($B132,'[4]Data - DO NOT PRINT'!$B$3:$G$297,5,FALSE)</f>
        <v>10.36</v>
      </c>
      <c r="G132" s="273" t="str">
        <f>IF(VLOOKUP($B132,'[4]Data - DO NOT PRINT'!$B$3:$G$297,6,FALSE)=0,"",VLOOKUP($B132,'[4]Data - DO NOT PRINT'!$B$3:$G$297,6,FALSE))</f>
        <v/>
      </c>
      <c r="H132" s="246"/>
      <c r="I132" s="247"/>
      <c r="J132" s="246"/>
      <c r="K132" s="246"/>
      <c r="L132" s="246"/>
      <c r="M132" s="246"/>
      <c r="N132" s="246"/>
    </row>
    <row r="133" spans="1:14" s="248" customFormat="1" ht="15" customHeight="1">
      <c r="A133" s="250">
        <v>2.6100699999999999</v>
      </c>
      <c r="B133" s="251" t="s">
        <v>2630</v>
      </c>
      <c r="C133" s="252" t="str">
        <f>VLOOKUP($B133,'[4]Data - DO NOT PRINT'!$B$3:$G$297,2,FALSE)</f>
        <v>Decontamination Station (Inner Undressing Area)</v>
      </c>
      <c r="D133" s="253" t="str">
        <f>VLOOKUP($B133,'[4]Data - DO NOT PRINT'!$B$3:$G$297,3,FALSE)</f>
        <v>Main Deck</v>
      </c>
      <c r="E133" s="253">
        <f>VLOOKUP($B133,'[4]Data - DO NOT PRINT'!$B$3:$G$297,4,FALSE)</f>
        <v>4.38</v>
      </c>
      <c r="F133" s="253">
        <f>VLOOKUP($B133,'[4]Data - DO NOT PRINT'!$B$3:$G$297,5,FALSE)</f>
        <v>9.74</v>
      </c>
      <c r="G133" s="254" t="str">
        <f>IF(VLOOKUP($B133,'[4]Data - DO NOT PRINT'!$B$3:$G$297,6,FALSE)=0,"",VLOOKUP($B133,'[4]Data - DO NOT PRINT'!$B$3:$G$297,6,FALSE))</f>
        <v/>
      </c>
      <c r="H133" s="246"/>
      <c r="I133" s="247"/>
      <c r="J133" s="246"/>
      <c r="K133" s="246"/>
      <c r="L133" s="246"/>
      <c r="M133" s="246"/>
      <c r="N133" s="246"/>
    </row>
    <row r="134" spans="1:14" s="248" customFormat="1" ht="15" customHeight="1">
      <c r="A134" s="250">
        <v>2.61008</v>
      </c>
      <c r="B134" s="251" t="s">
        <v>2631</v>
      </c>
      <c r="C134" s="252" t="str">
        <f>VLOOKUP($B134,'[4]Data - DO NOT PRINT'!$B$3:$G$297,2,FALSE)</f>
        <v>Decontamination Station (Shower Area)</v>
      </c>
      <c r="D134" s="253" t="str">
        <f>VLOOKUP($B134,'[4]Data - DO NOT PRINT'!$B$3:$G$297,3,FALSE)</f>
        <v>Main Deck</v>
      </c>
      <c r="E134" s="253">
        <f>VLOOKUP($B134,'[4]Data - DO NOT PRINT'!$B$3:$G$297,4,FALSE)</f>
        <v>1.93</v>
      </c>
      <c r="F134" s="253">
        <f>VLOOKUP($B134,'[4]Data - DO NOT PRINT'!$B$3:$G$297,5,FALSE)</f>
        <v>5.4</v>
      </c>
      <c r="G134" s="254" t="str">
        <f>IF(VLOOKUP($B134,'[4]Data - DO NOT PRINT'!$B$3:$G$297,6,FALSE)=0,"",VLOOKUP($B134,'[4]Data - DO NOT PRINT'!$B$3:$G$297,6,FALSE))</f>
        <v/>
      </c>
      <c r="H134" s="246"/>
      <c r="I134" s="247"/>
      <c r="J134" s="246"/>
      <c r="K134" s="246"/>
      <c r="L134" s="246"/>
      <c r="M134" s="246"/>
      <c r="N134" s="246"/>
    </row>
    <row r="135" spans="1:14" s="248" customFormat="1" ht="15" customHeight="1" thickBot="1">
      <c r="A135" s="257">
        <v>2.61009</v>
      </c>
      <c r="B135" s="258" t="s">
        <v>2632</v>
      </c>
      <c r="C135" s="259" t="str">
        <f>VLOOKUP($B135,'[4]Data - DO NOT PRINT'!$B$3:$G$297,2,FALSE)</f>
        <v>Decontamination Station (Contam Purge Lock)</v>
      </c>
      <c r="D135" s="260" t="str">
        <f>VLOOKUP($B135,'[4]Data - DO NOT PRINT'!$B$3:$G$297,3,FALSE)</f>
        <v>Main Deck</v>
      </c>
      <c r="E135" s="260">
        <f>VLOOKUP($B135,'[4]Data - DO NOT PRINT'!$B$3:$G$297,4,FALSE)</f>
        <v>1.89</v>
      </c>
      <c r="F135" s="260">
        <f>VLOOKUP($B135,'[4]Data - DO NOT PRINT'!$B$3:$G$297,5,FALSE)</f>
        <v>5.29</v>
      </c>
      <c r="G135" s="261" t="str">
        <f>IF(VLOOKUP($B135,'[4]Data - DO NOT PRINT'!$B$3:$G$297,6,FALSE)=0,"",VLOOKUP($B135,'[4]Data - DO NOT PRINT'!$B$3:$G$297,6,FALSE))</f>
        <v/>
      </c>
      <c r="H135" s="246"/>
      <c r="I135" s="247"/>
      <c r="J135" s="246"/>
      <c r="K135" s="246"/>
      <c r="L135" s="246"/>
      <c r="M135" s="246"/>
      <c r="N135" s="246"/>
    </row>
    <row r="136" spans="1:14" s="248" customFormat="1" ht="15" customHeight="1" thickBot="1">
      <c r="A136" s="262"/>
      <c r="B136" s="431" t="s">
        <v>2633</v>
      </c>
      <c r="C136" s="431"/>
      <c r="D136" s="432"/>
      <c r="E136" s="263">
        <f>SUBTOTAL(9,E132:E135)</f>
        <v>12.350000000000001</v>
      </c>
      <c r="F136" s="263">
        <f>SUBTOTAL(9,F132:F135)</f>
        <v>30.79</v>
      </c>
      <c r="G136" s="264"/>
      <c r="H136" s="246"/>
      <c r="I136" s="265"/>
      <c r="J136" s="266"/>
      <c r="K136" s="267"/>
      <c r="L136" s="268"/>
      <c r="M136" s="246"/>
      <c r="N136" s="246"/>
    </row>
    <row r="137" spans="1:14" s="248" customFormat="1" ht="15" customHeight="1" thickBot="1">
      <c r="A137" s="275">
        <v>2.6200100000000002</v>
      </c>
      <c r="B137" s="276" t="s">
        <v>2634</v>
      </c>
      <c r="C137" s="277" t="str">
        <f>VLOOKUP($B137,'[4]Data - DO NOT PRINT'!$B$3:$G$297,2,FALSE)</f>
        <v>CBR Defense &amp; Special Clothing Storeroom</v>
      </c>
      <c r="D137" s="278" t="str">
        <f>VLOOKUP($B137,'[4]Data - DO NOT PRINT'!$B$3:$G$297,3,FALSE)</f>
        <v>2nd Platform</v>
      </c>
      <c r="E137" s="278">
        <f>VLOOKUP($B137,'[4]Data - DO NOT PRINT'!$B$3:$G$297,4,FALSE)</f>
        <v>13.73</v>
      </c>
      <c r="F137" s="278">
        <f>VLOOKUP($B137,'[4]Data - DO NOT PRINT'!$B$3:$G$297,5,FALSE)</f>
        <v>55.63</v>
      </c>
      <c r="G137" s="279" t="str">
        <f>IF(VLOOKUP($B137,'[4]Data - DO NOT PRINT'!$B$3:$G$297,6,FALSE)=0,"",VLOOKUP($B137,'[4]Data - DO NOT PRINT'!$B$3:$G$297,6,FALSE))</f>
        <v/>
      </c>
      <c r="H137" s="246"/>
      <c r="I137" s="247"/>
      <c r="J137" s="246"/>
      <c r="K137" s="246"/>
      <c r="L137" s="246"/>
      <c r="M137" s="246"/>
      <c r="N137" s="246"/>
    </row>
    <row r="138" spans="1:14" s="248" customFormat="1" ht="15" customHeight="1" thickBot="1">
      <c r="A138" s="262"/>
      <c r="B138" s="431" t="s">
        <v>2635</v>
      </c>
      <c r="C138" s="431"/>
      <c r="D138" s="432"/>
      <c r="E138" s="263">
        <f>SUBTOTAL(9,E137)</f>
        <v>13.73</v>
      </c>
      <c r="F138" s="263">
        <f>SUBTOTAL(9,F137)</f>
        <v>55.63</v>
      </c>
      <c r="G138" s="264"/>
      <c r="H138" s="246"/>
      <c r="I138" s="265"/>
      <c r="J138" s="266"/>
      <c r="K138" s="267"/>
      <c r="L138" s="268"/>
      <c r="M138" s="246"/>
      <c r="N138" s="246"/>
    </row>
    <row r="139" spans="1:14" s="248" customFormat="1" ht="15" customHeight="1" thickBot="1">
      <c r="A139" s="275">
        <v>3.21001</v>
      </c>
      <c r="B139" s="276" t="s">
        <v>2636</v>
      </c>
      <c r="C139" s="277" t="str">
        <f>VLOOKUP($B139,'[4]Data - DO NOT PRINT'!$B$3:$G$297,2,FALSE)</f>
        <v>CCS/Damage Control Central</v>
      </c>
      <c r="D139" s="278" t="str">
        <f>VLOOKUP($B139,'[4]Data - DO NOT PRINT'!$B$3:$G$297,3,FALSE)</f>
        <v>1st Platform</v>
      </c>
      <c r="E139" s="278">
        <f>VLOOKUP($B139,'[4]Data - DO NOT PRINT'!$B$3:$G$297,4,FALSE)</f>
        <v>21.38</v>
      </c>
      <c r="F139" s="278">
        <f>VLOOKUP($B139,'[4]Data - DO NOT PRINT'!$B$3:$G$297,5,FALSE)</f>
        <v>69.02</v>
      </c>
      <c r="G139" s="279" t="str">
        <f>IF(VLOOKUP($B139,'[4]Data - DO NOT PRINT'!$B$3:$G$297,6,FALSE)=0,"",VLOOKUP($B139,'[4]Data - DO NOT PRINT'!$B$3:$G$297,6,FALSE))</f>
        <v/>
      </c>
      <c r="H139" s="246"/>
      <c r="I139" s="247"/>
      <c r="J139" s="246"/>
      <c r="K139" s="246"/>
      <c r="L139" s="246"/>
      <c r="M139" s="246"/>
      <c r="N139" s="246"/>
    </row>
    <row r="140" spans="1:14" s="248" customFormat="1" ht="15" customHeight="1" thickBot="1">
      <c r="A140" s="262"/>
      <c r="B140" s="431" t="s">
        <v>2637</v>
      </c>
      <c r="C140" s="431"/>
      <c r="D140" s="432"/>
      <c r="E140" s="263">
        <f>SUBTOTAL(9,E139)</f>
        <v>21.38</v>
      </c>
      <c r="F140" s="263">
        <f>SUBTOTAL(9,F139)</f>
        <v>69.02</v>
      </c>
      <c r="G140" s="264"/>
      <c r="H140" s="246"/>
      <c r="I140" s="265"/>
      <c r="J140" s="266"/>
      <c r="K140" s="267"/>
      <c r="L140" s="268"/>
      <c r="M140" s="246"/>
      <c r="N140" s="246"/>
    </row>
    <row r="141" spans="1:14" s="248" customFormat="1" ht="15" customHeight="1">
      <c r="A141" s="281">
        <v>3.2200500000000001</v>
      </c>
      <c r="B141" s="270" t="s">
        <v>2274</v>
      </c>
      <c r="C141" s="271" t="str">
        <f>VLOOKUP($B141,'[4]Data - DO NOT PRINT'!$B$3:$G$297,2,FALSE)</f>
        <v>Damage Control Repair Station 2</v>
      </c>
      <c r="D141" s="272" t="str">
        <f>VLOOKUP($B141,'[4]Data - DO NOT PRINT'!$B$3:$G$297,3,FALSE)</f>
        <v>1st Platform</v>
      </c>
      <c r="E141" s="272">
        <f>VLOOKUP($B141,'[4]Data - DO NOT PRINT'!$B$3:$G$297,4,FALSE)</f>
        <v>12.38</v>
      </c>
      <c r="F141" s="272">
        <f>VLOOKUP($B141,'[4]Data - DO NOT PRINT'!$B$3:$G$297,5,FALSE)</f>
        <v>39.89</v>
      </c>
      <c r="G141" s="273" t="str">
        <f>IF(VLOOKUP($B141,'[4]Data - DO NOT PRINT'!$B$3:$G$297,6,FALSE)=0,"",VLOOKUP($B141,'[4]Data - DO NOT PRINT'!$B$3:$G$297,6,FALSE))</f>
        <v/>
      </c>
      <c r="H141" s="246"/>
      <c r="I141" s="247"/>
      <c r="J141" s="246"/>
      <c r="K141" s="246"/>
      <c r="L141" s="246"/>
      <c r="M141" s="246"/>
      <c r="N141" s="246"/>
    </row>
    <row r="142" spans="1:14" s="248" customFormat="1" ht="15" customHeight="1">
      <c r="A142" s="250">
        <v>3.2200700000000002</v>
      </c>
      <c r="B142" s="251" t="s">
        <v>2638</v>
      </c>
      <c r="C142" s="252" t="str">
        <f>VLOOKUP($B142,'[4]Data - DO NOT PRINT'!$B$3:$G$297,2,FALSE)</f>
        <v>Damage Control Repair Station 3</v>
      </c>
      <c r="D142" s="253" t="str">
        <f>VLOOKUP($B142,'[4]Data - DO NOT PRINT'!$B$3:$G$297,3,FALSE)</f>
        <v>1st Platform</v>
      </c>
      <c r="E142" s="253">
        <f>VLOOKUP($B142,'[4]Data - DO NOT PRINT'!$B$3:$G$297,4,FALSE)</f>
        <v>12.26</v>
      </c>
      <c r="F142" s="253">
        <f>VLOOKUP($B142,'[4]Data - DO NOT PRINT'!$B$3:$G$297,5,FALSE)</f>
        <v>34.65</v>
      </c>
      <c r="G142" s="254" t="str">
        <f>IF(VLOOKUP($B142,'[4]Data - DO NOT PRINT'!$B$3:$G$297,6,FALSE)=0,"",VLOOKUP($B142,'[4]Data - DO NOT PRINT'!$B$3:$G$297,6,FALSE))</f>
        <v/>
      </c>
      <c r="H142" s="246"/>
      <c r="I142" s="247"/>
      <c r="J142" s="246"/>
      <c r="K142" s="246"/>
      <c r="L142" s="246"/>
      <c r="M142" s="246"/>
      <c r="N142" s="246"/>
    </row>
    <row r="143" spans="1:14" s="248" customFormat="1" ht="15" customHeight="1" thickBot="1">
      <c r="A143" s="257">
        <v>3.2201900000000001</v>
      </c>
      <c r="B143" s="258" t="s">
        <v>2639</v>
      </c>
      <c r="C143" s="259" t="str">
        <f>VLOOKUP($B143,'[4]Data - DO NOT PRINT'!$B$3:$G$297,2,FALSE)</f>
        <v>Helo Crash &amp; Rescue Locker</v>
      </c>
      <c r="D143" s="260" t="str">
        <f>VLOOKUP($B143,'[4]Data - DO NOT PRINT'!$B$3:$G$297,3,FALSE)</f>
        <v>Main Deck</v>
      </c>
      <c r="E143" s="260">
        <f>VLOOKUP($B143,'[4]Data - DO NOT PRINT'!$B$3:$G$297,4,FALSE)</f>
        <v>4.41</v>
      </c>
      <c r="F143" s="260">
        <f>VLOOKUP($B143,'[4]Data - DO NOT PRINT'!$B$3:$G$297,5,FALSE)</f>
        <v>12.36</v>
      </c>
      <c r="G143" s="261" t="str">
        <f>IF(VLOOKUP($B143,'[4]Data - DO NOT PRINT'!$B$3:$G$297,6,FALSE)=0,"",VLOOKUP($B143,'[4]Data - DO NOT PRINT'!$B$3:$G$297,6,FALSE))</f>
        <v/>
      </c>
      <c r="H143" s="246"/>
      <c r="I143" s="247"/>
      <c r="J143" s="246"/>
      <c r="K143" s="246"/>
      <c r="L143" s="246"/>
      <c r="M143" s="246"/>
      <c r="N143" s="246"/>
    </row>
    <row r="144" spans="1:14" s="248" customFormat="1" ht="15" customHeight="1" thickBot="1">
      <c r="A144" s="262"/>
      <c r="B144" s="431" t="s">
        <v>2640</v>
      </c>
      <c r="C144" s="431"/>
      <c r="D144" s="432"/>
      <c r="E144" s="263">
        <f>SUBTOTAL(9,E141:E143)</f>
        <v>29.05</v>
      </c>
      <c r="F144" s="263">
        <f>SUBTOTAL(9,F141:F143)</f>
        <v>86.899999999999991</v>
      </c>
      <c r="G144" s="264"/>
      <c r="H144" s="246"/>
      <c r="I144" s="265"/>
      <c r="J144" s="266"/>
      <c r="K144" s="267"/>
      <c r="L144" s="268"/>
      <c r="M144" s="246"/>
      <c r="N144" s="246"/>
    </row>
    <row r="145" spans="1:14" s="248" customFormat="1" ht="15" customHeight="1">
      <c r="A145" s="269">
        <v>3.25</v>
      </c>
      <c r="B145" s="270" t="s">
        <v>2641</v>
      </c>
      <c r="C145" s="271" t="str">
        <f>VLOOKUP($B145,'[4]Data - DO NOT PRINT'!$B$3:$G$297,2,FALSE)</f>
        <v>Water Mist Tank</v>
      </c>
      <c r="D145" s="272" t="str">
        <f>VLOOKUP($B145,'[4]Data - DO NOT PRINT'!$B$3:$G$297,3,FALSE)</f>
        <v>Main Deck</v>
      </c>
      <c r="E145" s="272">
        <f>VLOOKUP($B145,'[4]Data - DO NOT PRINT'!$B$3:$G$297,4,FALSE)</f>
        <v>0</v>
      </c>
      <c r="F145" s="272">
        <f>VLOOKUP($B145,'[4]Data - DO NOT PRINT'!$B$3:$G$297,5,FALSE)</f>
        <v>3.49</v>
      </c>
      <c r="G145" s="273" t="str">
        <f>IF(VLOOKUP($B145,'[4]Data - DO NOT PRINT'!$B$3:$G$297,6,FALSE)=0,"",VLOOKUP($B145,'[4]Data - DO NOT PRINT'!$B$3:$G$297,6,FALSE))</f>
        <v/>
      </c>
      <c r="H145" s="246"/>
      <c r="I145" s="247"/>
      <c r="J145" s="246"/>
      <c r="K145" s="246"/>
      <c r="L145" s="246"/>
      <c r="M145" s="246"/>
      <c r="N145" s="246"/>
    </row>
    <row r="146" spans="1:14" s="248" customFormat="1" ht="15" customHeight="1" thickBot="1">
      <c r="A146" s="257">
        <v>3.25</v>
      </c>
      <c r="B146" s="258" t="s">
        <v>2642</v>
      </c>
      <c r="C146" s="259" t="str">
        <f>VLOOKUP($B146,'[4]Data - DO NOT PRINT'!$B$3:$G$297,2,FALSE)</f>
        <v>Water Mist Tank</v>
      </c>
      <c r="D146" s="260" t="str">
        <f>VLOOKUP($B146,'[4]Data - DO NOT PRINT'!$B$3:$G$297,3,FALSE)</f>
        <v>1st Platform</v>
      </c>
      <c r="E146" s="260">
        <f>VLOOKUP($B146,'[4]Data - DO NOT PRINT'!$B$3:$G$297,4,FALSE)</f>
        <v>0</v>
      </c>
      <c r="F146" s="260">
        <f>VLOOKUP($B146,'[4]Data - DO NOT PRINT'!$B$3:$G$297,5,FALSE)</f>
        <v>9.75</v>
      </c>
      <c r="G146" s="261" t="str">
        <f>IF(VLOOKUP($B146,'[4]Data - DO NOT PRINT'!$B$3:$G$297,6,FALSE)=0,"",VLOOKUP($B146,'[4]Data - DO NOT PRINT'!$B$3:$G$297,6,FALSE))</f>
        <v/>
      </c>
      <c r="H146" s="246"/>
      <c r="I146" s="247"/>
      <c r="J146" s="246"/>
      <c r="K146" s="246"/>
      <c r="L146" s="246"/>
      <c r="M146" s="246"/>
      <c r="N146" s="246"/>
    </row>
    <row r="147" spans="1:14" s="248" customFormat="1" ht="15" customHeight="1" thickBot="1">
      <c r="A147" s="262"/>
      <c r="B147" s="431" t="s">
        <v>2643</v>
      </c>
      <c r="C147" s="431"/>
      <c r="D147" s="432"/>
      <c r="E147" s="263">
        <f>SUBTOTAL(9,E145:E146)</f>
        <v>0</v>
      </c>
      <c r="F147" s="263">
        <f>SUBTOTAL(9,F145:F146)</f>
        <v>13.24</v>
      </c>
      <c r="G147" s="264"/>
      <c r="H147" s="246"/>
      <c r="I147" s="265"/>
      <c r="J147" s="266"/>
      <c r="K147" s="267"/>
      <c r="L147" s="268"/>
      <c r="M147" s="246"/>
      <c r="N147" s="246"/>
    </row>
    <row r="148" spans="1:14" s="248" customFormat="1" ht="15" customHeight="1">
      <c r="A148" s="269">
        <v>3.3010199999999998</v>
      </c>
      <c r="B148" s="270" t="s">
        <v>2644</v>
      </c>
      <c r="C148" s="271" t="str">
        <f>VLOOKUP($B148,'[4]Data - DO NOT PRINT'!$B$3:$G$297,2,FALSE)</f>
        <v>Ship Office</v>
      </c>
      <c r="D148" s="272" t="str">
        <f>VLOOKUP($B148,'[4]Data - DO NOT PRINT'!$B$3:$G$297,3,FALSE)</f>
        <v>1st Platform</v>
      </c>
      <c r="E148" s="272">
        <f>VLOOKUP($B148,'[4]Data - DO NOT PRINT'!$B$3:$G$297,4,FALSE)</f>
        <v>14.88</v>
      </c>
      <c r="F148" s="272">
        <f>VLOOKUP($B148,'[4]Data - DO NOT PRINT'!$B$3:$G$297,5,FALSE)</f>
        <v>66.67</v>
      </c>
      <c r="G148" s="273" t="str">
        <f>IF(VLOOKUP($B148,'[4]Data - DO NOT PRINT'!$B$3:$G$297,6,FALSE)=0,"",VLOOKUP($B148,'[4]Data - DO NOT PRINT'!$B$3:$G$297,6,FALSE))</f>
        <v/>
      </c>
      <c r="H148" s="246"/>
      <c r="I148" s="247"/>
      <c r="J148" s="246"/>
      <c r="K148" s="246"/>
      <c r="L148" s="246"/>
      <c r="M148" s="246"/>
      <c r="N148" s="246"/>
    </row>
    <row r="149" spans="1:14" s="248" customFormat="1" ht="15" customHeight="1" thickBot="1">
      <c r="A149" s="257">
        <v>3.3020100000000001</v>
      </c>
      <c r="B149" s="258" t="s">
        <v>2645</v>
      </c>
      <c r="C149" s="259" t="str">
        <f>VLOOKUP($B149,'[4]Data - DO NOT PRINT'!$B$3:$G$297,2,FALSE)</f>
        <v>Executive Officer Office</v>
      </c>
      <c r="D149" s="260" t="str">
        <f>VLOOKUP($B149,'[4]Data - DO NOT PRINT'!$B$3:$G$297,3,FALSE)</f>
        <v>Main Deck</v>
      </c>
      <c r="E149" s="260">
        <f>VLOOKUP($B149,'[4]Data - DO NOT PRINT'!$B$3:$G$297,4,FALSE)</f>
        <v>20.12</v>
      </c>
      <c r="F149" s="260">
        <f>VLOOKUP($B149,'[4]Data - DO NOT PRINT'!$B$3:$G$297,5,FALSE)</f>
        <v>38.93</v>
      </c>
      <c r="G149" s="261" t="str">
        <f>IF(VLOOKUP($B149,'[4]Data - DO NOT PRINT'!$B$3:$G$297,6,FALSE)=0,"",VLOOKUP($B149,'[4]Data - DO NOT PRINT'!$B$3:$G$297,6,FALSE))</f>
        <v/>
      </c>
      <c r="H149" s="246"/>
      <c r="I149" s="247"/>
      <c r="J149" s="246"/>
      <c r="K149" s="246"/>
      <c r="L149" s="246"/>
      <c r="M149" s="246"/>
      <c r="N149" s="246"/>
    </row>
    <row r="150" spans="1:14" s="248" customFormat="1" ht="15" customHeight="1" thickBot="1">
      <c r="A150" s="262"/>
      <c r="B150" s="431" t="s">
        <v>2646</v>
      </c>
      <c r="C150" s="431"/>
      <c r="D150" s="432"/>
      <c r="E150" s="263">
        <f>SUBTOTAL(9,E148:E149)</f>
        <v>35</v>
      </c>
      <c r="F150" s="263">
        <f>SUBTOTAL(9,F148:F149)</f>
        <v>105.6</v>
      </c>
      <c r="G150" s="264"/>
      <c r="H150" s="246"/>
      <c r="I150" s="265"/>
      <c r="J150" s="266"/>
      <c r="K150" s="267"/>
      <c r="L150" s="268"/>
      <c r="M150" s="246"/>
      <c r="N150" s="246"/>
    </row>
    <row r="151" spans="1:14" s="248" customFormat="1" ht="15" customHeight="1">
      <c r="A151" s="269">
        <v>3.5100099999999999</v>
      </c>
      <c r="B151" s="270" t="s">
        <v>2269</v>
      </c>
      <c r="C151" s="271" t="str">
        <f>VLOOKUP($B151,'[4]Data - DO NOT PRINT'!$B$3:$G$297,2,FALSE)</f>
        <v>Windlass Machinery &amp; Bosun Storeroom</v>
      </c>
      <c r="D151" s="272" t="str">
        <f>VLOOKUP($B151,'[4]Data - DO NOT PRINT'!$B$3:$G$297,3,FALSE)</f>
        <v>1st Platform</v>
      </c>
      <c r="E151" s="272">
        <f>VLOOKUP($B151,'[4]Data - DO NOT PRINT'!$B$3:$G$297,4,FALSE)</f>
        <v>54.5</v>
      </c>
      <c r="F151" s="272">
        <f>VLOOKUP($B151,'[4]Data - DO NOT PRINT'!$B$3:$G$297,5,FALSE)</f>
        <v>225.59</v>
      </c>
      <c r="G151" s="273" t="str">
        <f>IF(VLOOKUP($B151,'[4]Data - DO NOT PRINT'!$B$3:$G$297,6,FALSE)=0,"",VLOOKUP($B151,'[4]Data - DO NOT PRINT'!$B$3:$G$297,6,FALSE))</f>
        <v/>
      </c>
      <c r="H151" s="246"/>
      <c r="I151" s="247"/>
      <c r="J151" s="246"/>
      <c r="K151" s="246"/>
      <c r="L151" s="246"/>
      <c r="M151" s="246"/>
      <c r="N151" s="246"/>
    </row>
    <row r="152" spans="1:14" s="248" customFormat="1" ht="15" customHeight="1">
      <c r="A152" s="250">
        <v>3.5100199999999999</v>
      </c>
      <c r="B152" s="251" t="s">
        <v>2647</v>
      </c>
      <c r="C152" s="252" t="str">
        <f>VLOOKUP($B152,'[4]Data - DO NOT PRINT'!$B$3:$G$297,2,FALSE)</f>
        <v>Chain Locker</v>
      </c>
      <c r="D152" s="253" t="str">
        <f>VLOOKUP($B152,'[4]Data - DO NOT PRINT'!$B$3:$G$297,3,FALSE)</f>
        <v>2nd Platform</v>
      </c>
      <c r="E152" s="253">
        <f>VLOOKUP($B152,'[4]Data - DO NOT PRINT'!$B$3:$G$297,4,FALSE)</f>
        <v>8.23</v>
      </c>
      <c r="F152" s="253">
        <f>VLOOKUP($B152,'[4]Data - DO NOT PRINT'!$B$3:$G$297,5,FALSE)</f>
        <v>20.83</v>
      </c>
      <c r="G152" s="254" t="str">
        <f>IF(VLOOKUP($B152,'[4]Data - DO NOT PRINT'!$B$3:$G$297,6,FALSE)=0,"",VLOOKUP($B152,'[4]Data - DO NOT PRINT'!$B$3:$G$297,6,FALSE))</f>
        <v/>
      </c>
      <c r="H152" s="246"/>
      <c r="I152" s="247"/>
      <c r="J152" s="246"/>
      <c r="K152" s="246"/>
      <c r="L152" s="246"/>
      <c r="M152" s="246"/>
      <c r="N152" s="246"/>
    </row>
    <row r="153" spans="1:14" s="248" customFormat="1" ht="15" customHeight="1" thickBot="1">
      <c r="A153" s="257">
        <v>3.51003</v>
      </c>
      <c r="B153" s="258" t="s">
        <v>2648</v>
      </c>
      <c r="C153" s="259" t="str">
        <f>VLOOKUP($B153,'[4]Data - DO NOT PRINT'!$B$3:$G$297,2,FALSE)</f>
        <v>Chain Locker Sump</v>
      </c>
      <c r="D153" s="260" t="str">
        <f>VLOOKUP($B153,'[4]Data - DO NOT PRINT'!$B$3:$G$297,3,FALSE)</f>
        <v>2nd Platform</v>
      </c>
      <c r="E153" s="260">
        <f>VLOOKUP($B153,'[4]Data - DO NOT PRINT'!$B$3:$G$297,4,FALSE)</f>
        <v>6.69</v>
      </c>
      <c r="F153" s="260">
        <f>VLOOKUP($B153,'[4]Data - DO NOT PRINT'!$B$3:$G$297,5,FALSE)</f>
        <v>6.72</v>
      </c>
      <c r="G153" s="261" t="str">
        <f>IF(VLOOKUP($B153,'[4]Data - DO NOT PRINT'!$B$3:$G$297,6,FALSE)=0,"",VLOOKUP($B153,'[4]Data - DO NOT PRINT'!$B$3:$G$297,6,FALSE))</f>
        <v/>
      </c>
      <c r="H153" s="246"/>
      <c r="I153" s="247"/>
      <c r="J153" s="246"/>
      <c r="K153" s="246"/>
      <c r="L153" s="246"/>
      <c r="M153" s="246"/>
      <c r="N153" s="246"/>
    </row>
    <row r="154" spans="1:14" s="248" customFormat="1" ht="15" customHeight="1" thickBot="1">
      <c r="A154" s="262"/>
      <c r="B154" s="431" t="s">
        <v>2649</v>
      </c>
      <c r="C154" s="431"/>
      <c r="D154" s="432"/>
      <c r="E154" s="263">
        <f>SUBTOTAL(9,E151:E153)</f>
        <v>69.42</v>
      </c>
      <c r="F154" s="263">
        <f>SUBTOTAL(9,F151:F153)</f>
        <v>253.14000000000001</v>
      </c>
      <c r="G154" s="264"/>
      <c r="H154" s="246"/>
      <c r="I154" s="265"/>
      <c r="J154" s="266"/>
      <c r="K154" s="267"/>
      <c r="L154" s="268"/>
      <c r="M154" s="246"/>
      <c r="N154" s="246"/>
    </row>
    <row r="155" spans="1:14" s="248" customFormat="1" ht="15" customHeight="1">
      <c r="A155" s="269" t="s">
        <v>2650</v>
      </c>
      <c r="B155" s="270" t="s">
        <v>2651</v>
      </c>
      <c r="C155" s="271" t="str">
        <f>VLOOKUP($B155,'[4]Data - DO NOT PRINT'!$B$3:$G$297,2,FALSE)</f>
        <v>Fueling At Sea Storeroom</v>
      </c>
      <c r="D155" s="272" t="str">
        <f>VLOOKUP($B155,'[4]Data - DO NOT PRINT'!$B$3:$G$297,3,FALSE)</f>
        <v>02 Level</v>
      </c>
      <c r="E155" s="272">
        <f>VLOOKUP($B155,'[4]Data - DO NOT PRINT'!$B$3:$G$297,4,FALSE)</f>
        <v>11.65</v>
      </c>
      <c r="F155" s="272">
        <f>VLOOKUP($B155,'[4]Data - DO NOT PRINT'!$B$3:$G$297,5,FALSE)</f>
        <v>26.77</v>
      </c>
      <c r="G155" s="273" t="str">
        <f>IF(VLOOKUP($B155,'[4]Data - DO NOT PRINT'!$B$3:$G$297,6,FALSE)=0,"",VLOOKUP($B155,'[4]Data - DO NOT PRINT'!$B$3:$G$297,6,FALSE))</f>
        <v/>
      </c>
      <c r="H155" s="246"/>
      <c r="I155" s="247"/>
      <c r="J155" s="246"/>
      <c r="K155" s="246"/>
      <c r="L155" s="246"/>
      <c r="M155" s="246"/>
      <c r="N155" s="246"/>
    </row>
    <row r="156" spans="1:14" s="248" customFormat="1" ht="15" customHeight="1" thickBot="1">
      <c r="A156" s="257">
        <v>3.5300699999999998</v>
      </c>
      <c r="B156" s="258" t="s">
        <v>2652</v>
      </c>
      <c r="C156" s="259" t="str">
        <f>VLOOKUP($B156,'[4]Data - DO NOT PRINT'!$B$3:$G$297,2,FALSE)</f>
        <v>Helo Fueling Station</v>
      </c>
      <c r="D156" s="260" t="str">
        <f>VLOOKUP($B156,'[4]Data - DO NOT PRINT'!$B$3:$G$297,3,FALSE)</f>
        <v>Main Deck</v>
      </c>
      <c r="E156" s="260">
        <f>VLOOKUP($B156,'[4]Data - DO NOT PRINT'!$B$3:$G$297,4,FALSE)</f>
        <v>2.95</v>
      </c>
      <c r="F156" s="260">
        <f>VLOOKUP($B156,'[4]Data - DO NOT PRINT'!$B$3:$G$297,5,FALSE)</f>
        <v>5.21</v>
      </c>
      <c r="G156" s="261" t="str">
        <f>IF(VLOOKUP($B156,'[4]Data - DO NOT PRINT'!$B$3:$G$297,6,FALSE)=0,"",VLOOKUP($B156,'[4]Data - DO NOT PRINT'!$B$3:$G$297,6,FALSE))</f>
        <v/>
      </c>
      <c r="H156" s="246"/>
      <c r="I156" s="247"/>
      <c r="J156" s="246"/>
      <c r="K156" s="246"/>
      <c r="L156" s="246"/>
      <c r="M156" s="246"/>
      <c r="N156" s="246"/>
    </row>
    <row r="157" spans="1:14" s="248" customFormat="1" ht="15" customHeight="1" thickBot="1">
      <c r="A157" s="262"/>
      <c r="B157" s="431" t="s">
        <v>2653</v>
      </c>
      <c r="C157" s="431"/>
      <c r="D157" s="432"/>
      <c r="E157" s="263">
        <f>SUBTOTAL(9,E155:E156)</f>
        <v>14.600000000000001</v>
      </c>
      <c r="F157" s="263">
        <f>SUBTOTAL(9,F155:F156)</f>
        <v>31.98</v>
      </c>
      <c r="G157" s="264"/>
      <c r="H157" s="246"/>
      <c r="I157" s="265"/>
      <c r="J157" s="266"/>
      <c r="K157" s="267"/>
      <c r="L157" s="268"/>
      <c r="M157" s="246"/>
      <c r="N157" s="246"/>
    </row>
    <row r="158" spans="1:14" s="248" customFormat="1" ht="15" customHeight="1">
      <c r="A158" s="269">
        <v>3.5400100000000001</v>
      </c>
      <c r="B158" s="270" t="s">
        <v>2654</v>
      </c>
      <c r="C158" s="271" t="str">
        <f>VLOOKUP($B158,'[4]Data - DO NOT PRINT'!$B$3:$G$297,2,FALSE)</f>
        <v>5.5 m Rescue Boat Station</v>
      </c>
      <c r="D158" s="272" t="str">
        <f>VLOOKUP($B158,'[4]Data - DO NOT PRINT'!$B$3:$G$297,3,FALSE)</f>
        <v>Main Deck</v>
      </c>
      <c r="E158" s="272">
        <f>VLOOKUP($B158,'[4]Data - DO NOT PRINT'!$B$3:$G$297,4,FALSE)</f>
        <v>44.34</v>
      </c>
      <c r="F158" s="272">
        <f>VLOOKUP($B158,'[4]Data - DO NOT PRINT'!$B$3:$G$297,5,FALSE)</f>
        <v>115.7</v>
      </c>
      <c r="G158" s="273" t="str">
        <f>IF(VLOOKUP($B158,'[4]Data - DO NOT PRINT'!$B$3:$G$297,6,FALSE)=0,"",VLOOKUP($B158,'[4]Data - DO NOT PRINT'!$B$3:$G$297,6,FALSE))</f>
        <v/>
      </c>
      <c r="H158" s="246"/>
      <c r="I158" s="247"/>
      <c r="J158" s="246"/>
      <c r="K158" s="246"/>
      <c r="L158" s="246"/>
      <c r="M158" s="246"/>
      <c r="N158" s="246"/>
    </row>
    <row r="159" spans="1:14" s="248" customFormat="1" ht="15" customHeight="1" thickBot="1">
      <c r="A159" s="274">
        <v>3.5400100000000001</v>
      </c>
      <c r="B159" s="258" t="s">
        <v>2655</v>
      </c>
      <c r="C159" s="259" t="str">
        <f>VLOOKUP($B159,'[4]Data - DO NOT PRINT'!$B$3:$G$297,2,FALSE)</f>
        <v>Waterborne Mission Zone</v>
      </c>
      <c r="D159" s="260" t="str">
        <f>VLOOKUP($B159,'[4]Data - DO NOT PRINT'!$B$3:$G$297,3,FALSE)</f>
        <v>2nd Platform</v>
      </c>
      <c r="E159" s="260">
        <f>VLOOKUP($B159,'[4]Data - DO NOT PRINT'!$B$3:$G$297,4,FALSE)</f>
        <v>234.0704194944</v>
      </c>
      <c r="F159" s="260">
        <f>VLOOKUP($B159,'[4]Data - DO NOT PRINT'!$B$3:$G$297,5,FALSE)</f>
        <v>1242.4291893</v>
      </c>
      <c r="G159" s="261" t="str">
        <f>IF(VLOOKUP($B159,'[4]Data - DO NOT PRINT'!$B$3:$G$297,6,FALSE)=0,"",VLOOKUP($B159,'[4]Data - DO NOT PRINT'!$B$3:$G$297,6,FALSE))</f>
        <v/>
      </c>
      <c r="H159" s="246"/>
      <c r="I159" s="247"/>
      <c r="J159" s="246"/>
      <c r="K159" s="246"/>
      <c r="L159" s="246"/>
      <c r="M159" s="246"/>
      <c r="N159" s="246"/>
    </row>
    <row r="160" spans="1:14" s="248" customFormat="1" ht="15" customHeight="1" thickBot="1">
      <c r="A160" s="262"/>
      <c r="B160" s="431" t="s">
        <v>2656</v>
      </c>
      <c r="C160" s="431"/>
      <c r="D160" s="432"/>
      <c r="E160" s="263">
        <f>SUBTOTAL(9,E158:E159)</f>
        <v>278.4104194944</v>
      </c>
      <c r="F160" s="263">
        <f>SUBTOTAL(9,F158:F159)</f>
        <v>1358.1291893</v>
      </c>
      <c r="G160" s="264"/>
      <c r="H160" s="246"/>
      <c r="I160" s="265"/>
      <c r="J160" s="266"/>
      <c r="K160" s="267"/>
      <c r="L160" s="268"/>
      <c r="M160" s="246"/>
      <c r="N160" s="246"/>
    </row>
    <row r="161" spans="1:14" s="248" customFormat="1" ht="15" customHeight="1" thickBot="1">
      <c r="A161" s="275">
        <v>3.6200100000000002</v>
      </c>
      <c r="B161" s="276" t="s">
        <v>2657</v>
      </c>
      <c r="C161" s="277" t="str">
        <f>VLOOKUP($B161,'[4]Data - DO NOT PRINT'!$B$3:$G$297,2,FALSE)</f>
        <v>Mechanical/Electrical Shop</v>
      </c>
      <c r="D161" s="278" t="str">
        <f>VLOOKUP($B161,'[4]Data - DO NOT PRINT'!$B$3:$G$297,3,FALSE)</f>
        <v>1st Platform</v>
      </c>
      <c r="E161" s="278">
        <f>VLOOKUP($B161,'[4]Data - DO NOT PRINT'!$B$3:$G$297,4,FALSE)</f>
        <v>28.64</v>
      </c>
      <c r="F161" s="278">
        <f>VLOOKUP($B161,'[4]Data - DO NOT PRINT'!$B$3:$G$297,5,FALSE)</f>
        <v>125.01</v>
      </c>
      <c r="G161" s="279" t="str">
        <f>IF(VLOOKUP($B161,'[4]Data - DO NOT PRINT'!$B$3:$G$297,6,FALSE)=0,"",VLOOKUP($B161,'[4]Data - DO NOT PRINT'!$B$3:$G$297,6,FALSE))</f>
        <v/>
      </c>
      <c r="H161" s="246"/>
      <c r="I161" s="247"/>
      <c r="J161" s="246"/>
      <c r="K161" s="246"/>
      <c r="L161" s="246"/>
      <c r="M161" s="246"/>
      <c r="N161" s="246"/>
    </row>
    <row r="162" spans="1:14" s="248" customFormat="1" ht="15" customHeight="1" thickBot="1">
      <c r="A162" s="262"/>
      <c r="B162" s="431" t="s">
        <v>2658</v>
      </c>
      <c r="C162" s="431"/>
      <c r="D162" s="432"/>
      <c r="E162" s="263">
        <f>SUBTOTAL(9,E161)</f>
        <v>28.64</v>
      </c>
      <c r="F162" s="263">
        <f>SUBTOTAL(9,F161)</f>
        <v>125.01</v>
      </c>
      <c r="G162" s="264"/>
      <c r="H162" s="246"/>
      <c r="I162" s="265"/>
      <c r="J162" s="266"/>
      <c r="K162" s="267"/>
      <c r="L162" s="268"/>
      <c r="M162" s="246"/>
      <c r="N162" s="246"/>
    </row>
    <row r="163" spans="1:14" s="248" customFormat="1" ht="15" customHeight="1" thickBot="1">
      <c r="A163" s="275">
        <v>3.7</v>
      </c>
      <c r="B163" s="276" t="s">
        <v>2659</v>
      </c>
      <c r="C163" s="277" t="str">
        <f>VLOOKUP($B163,'[4]Data - DO NOT PRINT'!$B$3:$G$297,2,FALSE)</f>
        <v>Misc Stowage &amp; Interface Control Room (Module 3)</v>
      </c>
      <c r="D163" s="278" t="str">
        <f>VLOOKUP($B163,'[4]Data - DO NOT PRINT'!$B$3:$G$297,3,FALSE)</f>
        <v>02 Level</v>
      </c>
      <c r="E163" s="278">
        <f>VLOOKUP($B163,'[4]Data - DO NOT PRINT'!$B$3:$G$297,4,FALSE)</f>
        <v>11.65</v>
      </c>
      <c r="F163" s="278">
        <f>VLOOKUP($B163,'[4]Data - DO NOT PRINT'!$B$3:$G$297,5,FALSE)</f>
        <v>26.77</v>
      </c>
      <c r="G163" s="279" t="str">
        <f>IF(VLOOKUP($B163,'[4]Data - DO NOT PRINT'!$B$3:$G$297,6,FALSE)=0,"",VLOOKUP($B163,'[4]Data - DO NOT PRINT'!$B$3:$G$297,6,FALSE))</f>
        <v/>
      </c>
      <c r="H163" s="246"/>
      <c r="I163" s="247"/>
      <c r="J163" s="246"/>
      <c r="K163" s="246"/>
      <c r="L163" s="246"/>
      <c r="M163" s="246"/>
      <c r="N163" s="246"/>
    </row>
    <row r="164" spans="1:14" s="248" customFormat="1" ht="15" customHeight="1" thickBot="1">
      <c r="A164" s="262"/>
      <c r="B164" s="431" t="s">
        <v>2660</v>
      </c>
      <c r="C164" s="431"/>
      <c r="D164" s="432"/>
      <c r="E164" s="263">
        <f>SUBTOTAL(9,E163)</f>
        <v>11.65</v>
      </c>
      <c r="F164" s="263">
        <f>SUBTOTAL(9,F163)</f>
        <v>26.77</v>
      </c>
      <c r="G164" s="264"/>
      <c r="H164" s="246"/>
      <c r="I164" s="265"/>
      <c r="J164" s="266"/>
      <c r="K164" s="267"/>
      <c r="L164" s="268"/>
      <c r="M164" s="246"/>
      <c r="N164" s="246"/>
    </row>
    <row r="165" spans="1:14" s="248" customFormat="1" ht="15" customHeight="1">
      <c r="A165" s="281">
        <v>3.7109999999999999</v>
      </c>
      <c r="B165" s="270" t="s">
        <v>2661</v>
      </c>
      <c r="C165" s="271" t="str">
        <f>VLOOKUP($B165,'[4]Data - DO NOT PRINT'!$B$3:$G$297,2,FALSE)</f>
        <v>HAZMAT Locker</v>
      </c>
      <c r="D165" s="272" t="str">
        <f>VLOOKUP($B165,'[4]Data - DO NOT PRINT'!$B$3:$G$297,3,FALSE)</f>
        <v>Main Deck</v>
      </c>
      <c r="E165" s="272">
        <f>VLOOKUP($B165,'[4]Data - DO NOT PRINT'!$B$3:$G$297,4,FALSE)</f>
        <v>5.76</v>
      </c>
      <c r="F165" s="272">
        <f>VLOOKUP($B165,'[4]Data - DO NOT PRINT'!$B$3:$G$297,5,FALSE)</f>
        <v>16.13</v>
      </c>
      <c r="G165" s="273" t="str">
        <f>IF(VLOOKUP($B165,'[4]Data - DO NOT PRINT'!$B$3:$G$297,6,FALSE)=0,"",VLOOKUP($B165,'[4]Data - DO NOT PRINT'!$B$3:$G$297,6,FALSE))</f>
        <v/>
      </c>
      <c r="H165" s="246"/>
      <c r="I165" s="247"/>
      <c r="J165" s="246"/>
      <c r="K165" s="246"/>
      <c r="L165" s="246"/>
      <c r="M165" s="246"/>
      <c r="N165" s="246"/>
    </row>
    <row r="166" spans="1:14" s="248" customFormat="1" ht="15" customHeight="1">
      <c r="A166" s="250">
        <v>3.7111010000000002</v>
      </c>
      <c r="B166" s="251" t="s">
        <v>2662</v>
      </c>
      <c r="C166" s="252" t="str">
        <f>VLOOKUP($B166,'[4]Data - DO NOT PRINT'!$B$3:$G$297,2,FALSE)</f>
        <v>Flammable Liquid Storeroom</v>
      </c>
      <c r="D166" s="253" t="str">
        <f>VLOOKUP($B166,'[4]Data - DO NOT PRINT'!$B$3:$G$297,3,FALSE)</f>
        <v>2nd Platform</v>
      </c>
      <c r="E166" s="253">
        <f>VLOOKUP($B166,'[4]Data - DO NOT PRINT'!$B$3:$G$297,4,FALSE)</f>
        <v>7.83</v>
      </c>
      <c r="F166" s="253">
        <f>VLOOKUP($B166,'[4]Data - DO NOT PRINT'!$B$3:$G$297,5,FALSE)</f>
        <v>28.54</v>
      </c>
      <c r="G166" s="254" t="str">
        <f>IF(VLOOKUP($B166,'[4]Data - DO NOT PRINT'!$B$3:$G$297,6,FALSE)=0,"",VLOOKUP($B166,'[4]Data - DO NOT PRINT'!$B$3:$G$297,6,FALSE))</f>
        <v/>
      </c>
      <c r="H166" s="246"/>
      <c r="I166" s="247"/>
      <c r="J166" s="246"/>
      <c r="K166" s="246"/>
      <c r="L166" s="246"/>
      <c r="M166" s="246"/>
      <c r="N166" s="246"/>
    </row>
    <row r="167" spans="1:14" s="248" customFormat="1" ht="15" customHeight="1">
      <c r="A167" s="250">
        <v>3.7112050000000001</v>
      </c>
      <c r="B167" s="251" t="s">
        <v>2663</v>
      </c>
      <c r="C167" s="252" t="str">
        <f>VLOOKUP($B167,'[4]Data - DO NOT PRINT'!$B$3:$G$297,2,FALSE)</f>
        <v>Gas Cylinder Storeroom</v>
      </c>
      <c r="D167" s="253" t="str">
        <f>VLOOKUP($B167,'[4]Data - DO NOT PRINT'!$B$3:$G$297,3,FALSE)</f>
        <v>2nd Platform</v>
      </c>
      <c r="E167" s="253">
        <f>VLOOKUP($B167,'[4]Data - DO NOT PRINT'!$B$3:$G$297,4,FALSE)</f>
        <v>6.79</v>
      </c>
      <c r="F167" s="253">
        <f>VLOOKUP($B167,'[4]Data - DO NOT PRINT'!$B$3:$G$297,5,FALSE)</f>
        <v>30.25</v>
      </c>
      <c r="G167" s="254" t="str">
        <f>IF(VLOOKUP($B167,'[4]Data - DO NOT PRINT'!$B$3:$G$297,6,FALSE)=0,"",VLOOKUP($B167,'[4]Data - DO NOT PRINT'!$B$3:$G$297,6,FALSE))</f>
        <v/>
      </c>
      <c r="H167" s="246"/>
      <c r="I167" s="247"/>
      <c r="J167" s="246"/>
      <c r="K167" s="246"/>
      <c r="L167" s="246"/>
      <c r="M167" s="246"/>
      <c r="N167" s="246"/>
    </row>
    <row r="168" spans="1:14" s="248" customFormat="1" ht="15" customHeight="1" thickBot="1">
      <c r="A168" s="257">
        <v>3.713101</v>
      </c>
      <c r="B168" s="258" t="s">
        <v>2664</v>
      </c>
      <c r="C168" s="259" t="str">
        <f>VLOOKUP($B168,'[4]Data - DO NOT PRINT'!$B$3:$G$297,2,FALSE)</f>
        <v>Supply Dept Storeroom</v>
      </c>
      <c r="D168" s="260" t="str">
        <f>VLOOKUP($B168,'[4]Data - DO NOT PRINT'!$B$3:$G$297,3,FALSE)</f>
        <v>2nd Platform</v>
      </c>
      <c r="E168" s="260">
        <f>VLOOKUP($B168,'[4]Data - DO NOT PRINT'!$B$3:$G$297,4,FALSE)</f>
        <v>14.86</v>
      </c>
      <c r="F168" s="260">
        <f>VLOOKUP($B168,'[4]Data - DO NOT PRINT'!$B$3:$G$297,5,FALSE)</f>
        <v>54.58</v>
      </c>
      <c r="G168" s="261" t="str">
        <f>IF(VLOOKUP($B168,'[4]Data - DO NOT PRINT'!$B$3:$G$297,6,FALSE)=0,"",VLOOKUP($B168,'[4]Data - DO NOT PRINT'!$B$3:$G$297,6,FALSE))</f>
        <v/>
      </c>
      <c r="H168" s="246"/>
      <c r="I168" s="247"/>
      <c r="J168" s="246"/>
      <c r="K168" s="246"/>
      <c r="L168" s="246"/>
      <c r="M168" s="246"/>
      <c r="N168" s="246"/>
    </row>
    <row r="169" spans="1:14" s="248" customFormat="1" ht="15" customHeight="1" thickBot="1">
      <c r="A169" s="262"/>
      <c r="B169" s="431" t="s">
        <v>2665</v>
      </c>
      <c r="C169" s="431"/>
      <c r="D169" s="432"/>
      <c r="E169" s="263">
        <f>SUBTOTAL(9,E165:E168)</f>
        <v>35.239999999999995</v>
      </c>
      <c r="F169" s="263">
        <f>SUBTOTAL(9,F165:F168)</f>
        <v>129.5</v>
      </c>
      <c r="G169" s="264"/>
      <c r="H169" s="246"/>
      <c r="I169" s="265"/>
      <c r="J169" s="266"/>
      <c r="K169" s="267"/>
      <c r="L169" s="268"/>
      <c r="M169" s="246"/>
      <c r="N169" s="246"/>
    </row>
    <row r="170" spans="1:14" s="248" customFormat="1" ht="15" customHeight="1" thickBot="1">
      <c r="A170" s="275">
        <v>3.73001</v>
      </c>
      <c r="B170" s="276" t="s">
        <v>2666</v>
      </c>
      <c r="C170" s="277" t="str">
        <f>VLOOKUP($B170,'[4]Data - DO NOT PRINT'!$B$3:$G$297,2,FALSE)</f>
        <v>Mechanical Storeroom</v>
      </c>
      <c r="D170" s="278" t="str">
        <f>VLOOKUP($B170,'[4]Data - DO NOT PRINT'!$B$3:$G$297,3,FALSE)</f>
        <v>1st Platform</v>
      </c>
      <c r="E170" s="278">
        <f>VLOOKUP($B170,'[4]Data - DO NOT PRINT'!$B$3:$G$297,4,FALSE)</f>
        <v>15.95</v>
      </c>
      <c r="F170" s="278">
        <f>VLOOKUP($B170,'[4]Data - DO NOT PRINT'!$B$3:$G$297,5,FALSE)</f>
        <v>84</v>
      </c>
      <c r="G170" s="279" t="str">
        <f>IF(VLOOKUP($B170,'[4]Data - DO NOT PRINT'!$B$3:$G$297,6,FALSE)=0,"",VLOOKUP($B170,'[4]Data - DO NOT PRINT'!$B$3:$G$297,6,FALSE))</f>
        <v/>
      </c>
      <c r="H170" s="246"/>
      <c r="I170" s="247"/>
      <c r="J170" s="246"/>
      <c r="K170" s="246"/>
      <c r="L170" s="246"/>
      <c r="M170" s="246"/>
      <c r="N170" s="246"/>
    </row>
    <row r="171" spans="1:14" s="248" customFormat="1" ht="15" customHeight="1" thickBot="1">
      <c r="A171" s="262"/>
      <c r="B171" s="431" t="s">
        <v>2667</v>
      </c>
      <c r="C171" s="431"/>
      <c r="D171" s="432"/>
      <c r="E171" s="263">
        <f>SUBTOTAL(9,E170)</f>
        <v>15.95</v>
      </c>
      <c r="F171" s="263">
        <f>SUBTOTAL(9,F170)</f>
        <v>84</v>
      </c>
      <c r="G171" s="264"/>
      <c r="H171" s="246"/>
      <c r="I171" s="265"/>
      <c r="J171" s="266"/>
      <c r="K171" s="267"/>
      <c r="L171" s="268"/>
      <c r="M171" s="246"/>
      <c r="N171" s="246"/>
    </row>
    <row r="172" spans="1:14" s="248" customFormat="1" ht="15" customHeight="1">
      <c r="A172" s="269">
        <v>3.7400199999999999</v>
      </c>
      <c r="B172" s="270" t="s">
        <v>2668</v>
      </c>
      <c r="C172" s="271" t="str">
        <f>VLOOKUP($B172,'[4]Data - DO NOT PRINT'!$B$3:$G$297,2,FALSE)</f>
        <v>Deck Gear Storeroom</v>
      </c>
      <c r="D172" s="272" t="str">
        <f>VLOOKUP($B172,'[4]Data - DO NOT PRINT'!$B$3:$G$297,3,FALSE)</f>
        <v>Main Deck</v>
      </c>
      <c r="E172" s="272">
        <f>VLOOKUP($B172,'[4]Data - DO NOT PRINT'!$B$3:$G$297,4,FALSE)</f>
        <v>2.8</v>
      </c>
      <c r="F172" s="272">
        <f>VLOOKUP($B172,'[4]Data - DO NOT PRINT'!$B$3:$G$297,5,FALSE)</f>
        <v>4.9400000000000004</v>
      </c>
      <c r="G172" s="273" t="str">
        <f>IF(VLOOKUP($B172,'[4]Data - DO NOT PRINT'!$B$3:$G$297,6,FALSE)=0,"",VLOOKUP($B172,'[4]Data - DO NOT PRINT'!$B$3:$G$297,6,FALSE))</f>
        <v/>
      </c>
      <c r="H172" s="246"/>
      <c r="I172" s="247"/>
      <c r="J172" s="246"/>
      <c r="K172" s="246"/>
      <c r="L172" s="246"/>
      <c r="M172" s="246"/>
      <c r="N172" s="246"/>
    </row>
    <row r="173" spans="1:14" s="248" customFormat="1" ht="15" customHeight="1" thickBot="1">
      <c r="A173" s="257">
        <v>3.7400600000000002</v>
      </c>
      <c r="B173" s="258" t="s">
        <v>2669</v>
      </c>
      <c r="C173" s="259" t="str">
        <f>VLOOKUP($B173,'[4]Data - DO NOT PRINT'!$B$3:$G$297,2,FALSE)</f>
        <v>Boat Gear Locker</v>
      </c>
      <c r="D173" s="260" t="str">
        <f>VLOOKUP($B173,'[4]Data - DO NOT PRINT'!$B$3:$G$297,3,FALSE)</f>
        <v>Main Deck</v>
      </c>
      <c r="E173" s="260">
        <f>VLOOKUP($B173,'[4]Data - DO NOT PRINT'!$B$3:$G$297,4,FALSE)</f>
        <v>0.79</v>
      </c>
      <c r="F173" s="260">
        <f>VLOOKUP($B173,'[4]Data - DO NOT PRINT'!$B$3:$G$297,5,FALSE)</f>
        <v>2.21</v>
      </c>
      <c r="G173" s="261" t="str">
        <f>IF(VLOOKUP($B173,'[4]Data - DO NOT PRINT'!$B$3:$G$297,6,FALSE)=0,"",VLOOKUP($B173,'[4]Data - DO NOT PRINT'!$B$3:$G$297,6,FALSE))</f>
        <v/>
      </c>
      <c r="H173" s="246"/>
      <c r="I173" s="247"/>
      <c r="J173" s="246"/>
      <c r="K173" s="246"/>
      <c r="L173" s="246"/>
      <c r="M173" s="246"/>
      <c r="N173" s="246"/>
    </row>
    <row r="174" spans="1:14" s="248" customFormat="1" ht="15" customHeight="1" thickBot="1">
      <c r="A174" s="262"/>
      <c r="B174" s="431" t="s">
        <v>2670</v>
      </c>
      <c r="C174" s="431"/>
      <c r="D174" s="432"/>
      <c r="E174" s="263">
        <f>SUBTOTAL(9,E172:E173)</f>
        <v>3.59</v>
      </c>
      <c r="F174" s="263">
        <f>SUBTOTAL(9,F172:F173)</f>
        <v>7.15</v>
      </c>
      <c r="G174" s="264"/>
      <c r="H174" s="246"/>
      <c r="I174" s="265"/>
      <c r="J174" s="266"/>
      <c r="K174" s="267"/>
      <c r="L174" s="268"/>
      <c r="M174" s="246"/>
      <c r="N174" s="246"/>
    </row>
    <row r="175" spans="1:14" s="248" customFormat="1" ht="15" customHeight="1">
      <c r="A175" s="269">
        <v>3.7800099999999999</v>
      </c>
      <c r="B175" s="270" t="s">
        <v>2671</v>
      </c>
      <c r="C175" s="271" t="str">
        <f>VLOOKUP($B175,'[4]Data - DO NOT PRINT'!$B$3:$G$297,2,FALSE)</f>
        <v>Cleaning Gear Locker</v>
      </c>
      <c r="D175" s="272" t="str">
        <f>VLOOKUP($B175,'[4]Data - DO NOT PRINT'!$B$3:$G$297,3,FALSE)</f>
        <v>02 Level</v>
      </c>
      <c r="E175" s="272">
        <f>VLOOKUP($B175,'[4]Data - DO NOT PRINT'!$B$3:$G$297,4,FALSE)</f>
        <v>1.78</v>
      </c>
      <c r="F175" s="272">
        <f>VLOOKUP($B175,'[4]Data - DO NOT PRINT'!$B$3:$G$297,5,FALSE)</f>
        <v>4.62</v>
      </c>
      <c r="G175" s="273" t="str">
        <f>IF(VLOOKUP($B175,'[4]Data - DO NOT PRINT'!$B$3:$G$297,6,FALSE)=0,"",VLOOKUP($B175,'[4]Data - DO NOT PRINT'!$B$3:$G$297,6,FALSE))</f>
        <v/>
      </c>
      <c r="H175" s="246"/>
      <c r="I175" s="247"/>
      <c r="J175" s="246"/>
      <c r="K175" s="246"/>
      <c r="L175" s="246"/>
      <c r="M175" s="246"/>
      <c r="N175" s="246"/>
    </row>
    <row r="176" spans="1:14" s="248" customFormat="1" ht="15" customHeight="1">
      <c r="A176" s="250">
        <v>3.7800099999999999</v>
      </c>
      <c r="B176" s="251" t="s">
        <v>2672</v>
      </c>
      <c r="C176" s="252" t="str">
        <f>VLOOKUP($B176,'[4]Data - DO NOT PRINT'!$B$3:$G$297,2,FALSE)</f>
        <v>Cleaning Gear Locker</v>
      </c>
      <c r="D176" s="253" t="str">
        <f>VLOOKUP($B176,'[4]Data - DO NOT PRINT'!$B$3:$G$297,3,FALSE)</f>
        <v>1st Platform</v>
      </c>
      <c r="E176" s="253">
        <f>VLOOKUP($B176,'[4]Data - DO NOT PRINT'!$B$3:$G$297,4,FALSE)</f>
        <v>0.38</v>
      </c>
      <c r="F176" s="253">
        <f>VLOOKUP($B176,'[4]Data - DO NOT PRINT'!$B$3:$G$297,5,FALSE)</f>
        <v>0.99</v>
      </c>
      <c r="G176" s="254" t="str">
        <f>IF(VLOOKUP($B176,'[4]Data - DO NOT PRINT'!$B$3:$G$297,6,FALSE)=0,"",VLOOKUP($B176,'[4]Data - DO NOT PRINT'!$B$3:$G$297,6,FALSE))</f>
        <v/>
      </c>
      <c r="H176" s="246"/>
      <c r="I176" s="247"/>
      <c r="J176" s="246"/>
      <c r="K176" s="246"/>
      <c r="L176" s="246"/>
      <c r="M176" s="246"/>
      <c r="N176" s="246"/>
    </row>
    <row r="177" spans="1:14" s="248" customFormat="1" ht="15" customHeight="1" thickBot="1">
      <c r="A177" s="257">
        <v>3.7800099999999999</v>
      </c>
      <c r="B177" s="258" t="s">
        <v>2673</v>
      </c>
      <c r="C177" s="259" t="str">
        <f>VLOOKUP($B177,'[4]Data - DO NOT PRINT'!$B$3:$G$297,2,FALSE)</f>
        <v>Cleaning Gear Locker</v>
      </c>
      <c r="D177" s="260" t="str">
        <f>VLOOKUP($B177,'[4]Data - DO NOT PRINT'!$B$3:$G$297,3,FALSE)</f>
        <v>2nd Platform</v>
      </c>
      <c r="E177" s="260">
        <f>VLOOKUP($B177,'[4]Data - DO NOT PRINT'!$B$3:$G$297,4,FALSE)</f>
        <v>1.79</v>
      </c>
      <c r="F177" s="260">
        <f>VLOOKUP($B177,'[4]Data - DO NOT PRINT'!$B$3:$G$297,5,FALSE)</f>
        <v>5.0999999999999996</v>
      </c>
      <c r="G177" s="261" t="str">
        <f>IF(VLOOKUP($B177,'[4]Data - DO NOT PRINT'!$B$3:$G$297,6,FALSE)=0,"",VLOOKUP($B177,'[4]Data - DO NOT PRINT'!$B$3:$G$297,6,FALSE))</f>
        <v/>
      </c>
      <c r="H177" s="246"/>
      <c r="I177" s="247"/>
      <c r="J177" s="246"/>
      <c r="K177" s="246"/>
      <c r="L177" s="246"/>
      <c r="M177" s="246"/>
      <c r="N177" s="246"/>
    </row>
    <row r="178" spans="1:14" s="248" customFormat="1" ht="15" customHeight="1" thickBot="1">
      <c r="A178" s="262"/>
      <c r="B178" s="431" t="s">
        <v>2674</v>
      </c>
      <c r="C178" s="431"/>
      <c r="D178" s="432"/>
      <c r="E178" s="263">
        <f>SUBTOTAL(9,E175:E177)</f>
        <v>3.95</v>
      </c>
      <c r="F178" s="263">
        <f>SUBTOTAL(9,F175:F177)</f>
        <v>10.71</v>
      </c>
      <c r="G178" s="264"/>
      <c r="H178" s="246"/>
      <c r="I178" s="265"/>
      <c r="J178" s="266"/>
      <c r="K178" s="267"/>
      <c r="L178" s="268"/>
      <c r="M178" s="246"/>
      <c r="N178" s="246"/>
    </row>
    <row r="179" spans="1:14" s="248" customFormat="1" ht="15" customHeight="1">
      <c r="A179" s="269">
        <v>3.8200099999999999</v>
      </c>
      <c r="B179" s="270" t="s">
        <v>2675</v>
      </c>
      <c r="C179" s="271" t="str">
        <f>VLOOKUP($B179,'[4]Data - DO NOT PRINT'!$B$3:$G$297,2,FALSE)</f>
        <v>Escape Trunk</v>
      </c>
      <c r="D179" s="272" t="str">
        <f>VLOOKUP($B179,'[4]Data - DO NOT PRINT'!$B$3:$G$297,3,FALSE)</f>
        <v>2nd Platform</v>
      </c>
      <c r="E179" s="272">
        <f>VLOOKUP($B179,'[4]Data - DO NOT PRINT'!$B$3:$G$297,4,FALSE)</f>
        <v>1.19</v>
      </c>
      <c r="F179" s="272">
        <f>VLOOKUP($B179,'[4]Data - DO NOT PRINT'!$B$3:$G$297,5,FALSE)</f>
        <v>4.18</v>
      </c>
      <c r="G179" s="273" t="str">
        <f>IF(VLOOKUP($B179,'[4]Data - DO NOT PRINT'!$B$3:$G$297,6,FALSE)=0,"",VLOOKUP($B179,'[4]Data - DO NOT PRINT'!$B$3:$G$297,6,FALSE))</f>
        <v>01 Level</v>
      </c>
      <c r="H179" s="246"/>
      <c r="I179" s="247"/>
      <c r="J179" s="246"/>
      <c r="K179" s="246"/>
      <c r="L179" s="246"/>
      <c r="M179" s="246"/>
      <c r="N179" s="246"/>
    </row>
    <row r="180" spans="1:14" s="248" customFormat="1" ht="15" customHeight="1">
      <c r="A180" s="250">
        <v>3.8210099999999998</v>
      </c>
      <c r="B180" s="251" t="s">
        <v>2676</v>
      </c>
      <c r="C180" s="252" t="str">
        <f>VLOOKUP($B180,'[4]Data - DO NOT PRINT'!$B$3:$G$297,2,FALSE)</f>
        <v>Mast Enclosure</v>
      </c>
      <c r="D180" s="253" t="str">
        <f>VLOOKUP($B180,'[4]Data - DO NOT PRINT'!$B$3:$G$297,3,FALSE)</f>
        <v>04 Level</v>
      </c>
      <c r="E180" s="253">
        <f>VLOOKUP($B180,'[4]Data - DO NOT PRINT'!$B$3:$G$297,4,FALSE)</f>
        <v>9.1</v>
      </c>
      <c r="F180" s="253">
        <f>VLOOKUP($B180,'[4]Data - DO NOT PRINT'!$B$3:$G$297,5,FALSE)</f>
        <v>19.41</v>
      </c>
      <c r="G180" s="254" t="str">
        <f>IF(VLOOKUP($B180,'[4]Data - DO NOT PRINT'!$B$3:$G$297,6,FALSE)=0,"",VLOOKUP($B180,'[4]Data - DO NOT PRINT'!$B$3:$G$297,6,FALSE))</f>
        <v/>
      </c>
      <c r="H180" s="246"/>
      <c r="I180" s="247"/>
      <c r="J180" s="246"/>
      <c r="K180" s="246"/>
      <c r="L180" s="246"/>
      <c r="M180" s="246"/>
      <c r="N180" s="246"/>
    </row>
    <row r="181" spans="1:14" s="284" customFormat="1" ht="15" customHeight="1">
      <c r="A181" s="250">
        <v>3.8210099999999998</v>
      </c>
      <c r="B181" s="251" t="s">
        <v>1958</v>
      </c>
      <c r="C181" s="252" t="s">
        <v>2677</v>
      </c>
      <c r="D181" s="253" t="str">
        <f>VLOOKUP($C181,'[4]Data - DO NOT PRINT'!$C$3:$G$297,2,FALSE)</f>
        <v>02 Level</v>
      </c>
      <c r="E181" s="253">
        <f>VLOOKUP($C181,'[4]Data - DO NOT PRINT'!$C$3:$G$297,3,FALSE)</f>
        <v>7.89</v>
      </c>
      <c r="F181" s="253" t="str">
        <f>VLOOKUP($C181,'[4]Data - DO NOT PRINT'!$C$3:$G$297,4,FALSE)</f>
        <v>-</v>
      </c>
      <c r="G181" s="254" t="str">
        <f>IF(VLOOKUP($C181,'[4]Data - DO NOT PRINT'!$C$3:$G$297,5,FALSE)=0,"",VLOOKUP($C181,'[4]Data - DO NOT PRINT'!$C$3:$G$297,5,FALSE))</f>
        <v>Open to Weather</v>
      </c>
      <c r="H181" s="282"/>
      <c r="I181" s="283"/>
      <c r="J181" s="282"/>
      <c r="K181" s="282"/>
      <c r="L181" s="282"/>
      <c r="M181" s="282"/>
      <c r="N181" s="282"/>
    </row>
    <row r="182" spans="1:14" s="248" customFormat="1" ht="15" customHeight="1">
      <c r="A182" s="250">
        <v>3.8210099999999998</v>
      </c>
      <c r="B182" s="251" t="s">
        <v>2678</v>
      </c>
      <c r="C182" s="252" t="str">
        <f>VLOOKUP($B182,'[4]Data - DO NOT PRINT'!$B$3:$G$297,2,FALSE)</f>
        <v>Passage</v>
      </c>
      <c r="D182" s="253" t="str">
        <f>VLOOKUP($B182,'[4]Data - DO NOT PRINT'!$B$3:$G$297,3,FALSE)</f>
        <v>02 Level</v>
      </c>
      <c r="E182" s="253">
        <f>VLOOKUP($B182,'[4]Data - DO NOT PRINT'!$B$3:$G$297,4,FALSE)</f>
        <v>20.72</v>
      </c>
      <c r="F182" s="253">
        <f>VLOOKUP($B182,'[4]Data - DO NOT PRINT'!$B$3:$G$297,5,FALSE)</f>
        <v>53.75</v>
      </c>
      <c r="G182" s="254" t="str">
        <f>IF(VLOOKUP($B182,'[4]Data - DO NOT PRINT'!$B$3:$G$297,6,FALSE)=0,"",VLOOKUP($B182,'[4]Data - DO NOT PRINT'!$B$3:$G$297,6,FALSE))</f>
        <v/>
      </c>
      <c r="H182" s="246"/>
      <c r="I182" s="247"/>
      <c r="J182" s="246"/>
      <c r="K182" s="246"/>
      <c r="L182" s="246"/>
      <c r="M182" s="246"/>
      <c r="N182" s="246"/>
    </row>
    <row r="183" spans="1:14" s="248" customFormat="1" ht="15" customHeight="1">
      <c r="A183" s="250">
        <v>3.8210099999999998</v>
      </c>
      <c r="B183" s="251" t="s">
        <v>2679</v>
      </c>
      <c r="C183" s="252" t="str">
        <f>VLOOKUP($B183,'[4]Data - DO NOT PRINT'!$B$3:$G$297,2,FALSE)</f>
        <v>Passage</v>
      </c>
      <c r="D183" s="253" t="str">
        <f>VLOOKUP($B183,'[4]Data - DO NOT PRINT'!$B$3:$G$297,3,FALSE)</f>
        <v>02 Level</v>
      </c>
      <c r="E183" s="253">
        <f>VLOOKUP($B183,'[4]Data - DO NOT PRINT'!$B$3:$G$297,4,FALSE)</f>
        <v>1.83</v>
      </c>
      <c r="F183" s="253">
        <f>VLOOKUP($B183,'[4]Data - DO NOT PRINT'!$B$3:$G$297,5,FALSE)</f>
        <v>3.74</v>
      </c>
      <c r="G183" s="254" t="str">
        <f>IF(VLOOKUP($B183,'[4]Data - DO NOT PRINT'!$B$3:$G$297,6,FALSE)=0,"",VLOOKUP($B183,'[4]Data - DO NOT PRINT'!$B$3:$G$297,6,FALSE))</f>
        <v/>
      </c>
      <c r="H183" s="246"/>
      <c r="I183" s="247"/>
      <c r="J183" s="246"/>
      <c r="K183" s="246"/>
      <c r="L183" s="246"/>
      <c r="M183" s="246"/>
      <c r="N183" s="246"/>
    </row>
    <row r="184" spans="1:14" s="248" customFormat="1" ht="15" customHeight="1">
      <c r="A184" s="250">
        <v>2.6300300000000001</v>
      </c>
      <c r="B184" s="251" t="s">
        <v>2680</v>
      </c>
      <c r="C184" s="252" t="str">
        <f>VLOOKUP($B184,'[4]Data - DO NOT PRINT'!$B$3:$G$297,2,FALSE)</f>
        <v>Passage</v>
      </c>
      <c r="D184" s="253" t="str">
        <f>VLOOKUP($B184,'[4]Data - DO NOT PRINT'!$B$3:$G$297,3,FALSE)</f>
        <v>01 Level</v>
      </c>
      <c r="E184" s="253">
        <f>VLOOKUP($B184,'[4]Data - DO NOT PRINT'!$B$3:$G$297,4,FALSE)</f>
        <v>1.19</v>
      </c>
      <c r="F184" s="253">
        <f>VLOOKUP($B184,'[4]Data - DO NOT PRINT'!$B$3:$G$297,5,FALSE)</f>
        <v>3.33</v>
      </c>
      <c r="G184" s="254" t="str">
        <f>IF(VLOOKUP($B184,'[4]Data - DO NOT PRINT'!$B$3:$G$297,6,FALSE)=0,"",VLOOKUP($B184,'[4]Data - DO NOT PRINT'!$B$3:$G$297,6,FALSE))</f>
        <v/>
      </c>
      <c r="H184" s="246"/>
      <c r="I184" s="247"/>
      <c r="J184" s="246"/>
      <c r="K184" s="246"/>
      <c r="L184" s="246"/>
      <c r="M184" s="246"/>
      <c r="N184" s="246"/>
    </row>
    <row r="185" spans="1:14" s="248" customFormat="1" ht="15" customHeight="1">
      <c r="A185" s="250">
        <v>3.8210099999999998</v>
      </c>
      <c r="B185" s="251" t="s">
        <v>2681</v>
      </c>
      <c r="C185" s="252" t="str">
        <f>VLOOKUP($B185,'[4]Data - DO NOT PRINT'!$B$3:$G$297,2,FALSE)</f>
        <v>Passage</v>
      </c>
      <c r="D185" s="253" t="str">
        <f>VLOOKUP($B185,'[4]Data - DO NOT PRINT'!$B$3:$G$297,3,FALSE)</f>
        <v>01 Level</v>
      </c>
      <c r="E185" s="253">
        <f>VLOOKUP($B185,'[4]Data - DO NOT PRINT'!$B$3:$G$297,4,FALSE)</f>
        <v>45.55</v>
      </c>
      <c r="F185" s="253">
        <f>VLOOKUP($B185,'[4]Data - DO NOT PRINT'!$B$3:$G$297,5,FALSE)</f>
        <v>130.77000000000001</v>
      </c>
      <c r="G185" s="254" t="str">
        <f>IF(VLOOKUP($B185,'[4]Data - DO NOT PRINT'!$B$3:$G$297,6,FALSE)=0,"",VLOOKUP($B185,'[4]Data - DO NOT PRINT'!$B$3:$G$297,6,FALSE))</f>
        <v/>
      </c>
      <c r="H185" s="246"/>
      <c r="I185" s="247"/>
      <c r="J185" s="246"/>
      <c r="K185" s="246"/>
      <c r="L185" s="246"/>
      <c r="M185" s="246"/>
      <c r="N185" s="246"/>
    </row>
    <row r="186" spans="1:14" s="248" customFormat="1" ht="15" customHeight="1">
      <c r="A186" s="250">
        <v>3.8210099999999998</v>
      </c>
      <c r="B186" s="251" t="s">
        <v>2682</v>
      </c>
      <c r="C186" s="252" t="str">
        <f>VLOOKUP($B186,'[4]Data - DO NOT PRINT'!$B$3:$G$297,2,FALSE)</f>
        <v>Passage</v>
      </c>
      <c r="D186" s="253" t="str">
        <f>VLOOKUP($B186,'[4]Data - DO NOT PRINT'!$B$3:$G$297,3,FALSE)</f>
        <v>Main Deck</v>
      </c>
      <c r="E186" s="253">
        <f>VLOOKUP($B186,'[4]Data - DO NOT PRINT'!$B$3:$G$297,4,FALSE)</f>
        <v>14.84</v>
      </c>
      <c r="F186" s="253">
        <f>VLOOKUP($B186,'[4]Data - DO NOT PRINT'!$B$3:$G$297,5,FALSE)</f>
        <v>21.32</v>
      </c>
      <c r="G186" s="254" t="str">
        <f>IF(VLOOKUP($B186,'[4]Data - DO NOT PRINT'!$B$3:$G$297,6,FALSE)=0,"",VLOOKUP($B186,'[4]Data - DO NOT PRINT'!$B$3:$G$297,6,FALSE))</f>
        <v/>
      </c>
      <c r="H186" s="246"/>
      <c r="I186" s="247"/>
      <c r="J186" s="246"/>
      <c r="K186" s="246"/>
      <c r="L186" s="246"/>
      <c r="M186" s="246"/>
      <c r="N186" s="246"/>
    </row>
    <row r="187" spans="1:14" s="248" customFormat="1" ht="15" customHeight="1">
      <c r="A187" s="250">
        <v>3.8210099999999998</v>
      </c>
      <c r="B187" s="251" t="s">
        <v>2683</v>
      </c>
      <c r="C187" s="252" t="str">
        <f>VLOOKUP($B187,'[4]Data - DO NOT PRINT'!$B$3:$G$297,2,FALSE)</f>
        <v>Passage</v>
      </c>
      <c r="D187" s="253" t="str">
        <f>VLOOKUP($B187,'[4]Data - DO NOT PRINT'!$B$3:$G$297,3,FALSE)</f>
        <v>Main Deck</v>
      </c>
      <c r="E187" s="253">
        <f>VLOOKUP($B187,'[4]Data - DO NOT PRINT'!$B$3:$G$297,4,FALSE)</f>
        <v>28.630000000000006</v>
      </c>
      <c r="F187" s="253">
        <f>VLOOKUP($B187,'[4]Data - DO NOT PRINT'!$B$3:$G$297,5,FALSE)</f>
        <v>80.180000000000007</v>
      </c>
      <c r="G187" s="254" t="str">
        <f>IF(VLOOKUP($B187,'[4]Data - DO NOT PRINT'!$B$3:$G$297,6,FALSE)=0,"",VLOOKUP($B187,'[4]Data - DO NOT PRINT'!$B$3:$G$297,6,FALSE))</f>
        <v/>
      </c>
      <c r="H187" s="246"/>
      <c r="I187" s="247"/>
      <c r="J187" s="246"/>
      <c r="K187" s="246"/>
      <c r="L187" s="246"/>
      <c r="M187" s="246"/>
      <c r="N187" s="246"/>
    </row>
    <row r="188" spans="1:14" s="248" customFormat="1" ht="15" customHeight="1">
      <c r="A188" s="250">
        <v>3.8210099999999998</v>
      </c>
      <c r="B188" s="251" t="s">
        <v>2684</v>
      </c>
      <c r="C188" s="252" t="str">
        <f>VLOOKUP($B188,'[4]Data - DO NOT PRINT'!$B$3:$G$297,2,FALSE)</f>
        <v>Passage</v>
      </c>
      <c r="D188" s="253" t="str">
        <f>VLOOKUP($B188,'[4]Data - DO NOT PRINT'!$B$3:$G$297,3,FALSE)</f>
        <v>Main Deck</v>
      </c>
      <c r="E188" s="253">
        <f>VLOOKUP($B188,'[4]Data - DO NOT PRINT'!$B$3:$G$297,4,FALSE)</f>
        <v>33.130000000000003</v>
      </c>
      <c r="F188" s="253">
        <f>VLOOKUP($B188,'[4]Data - DO NOT PRINT'!$B$3:$G$297,5,FALSE)</f>
        <v>92.75</v>
      </c>
      <c r="G188" s="254" t="str">
        <f>IF(VLOOKUP($B188,'[4]Data - DO NOT PRINT'!$B$3:$G$297,6,FALSE)=0,"",VLOOKUP($B188,'[4]Data - DO NOT PRINT'!$B$3:$G$297,6,FALSE))</f>
        <v/>
      </c>
      <c r="H188" s="246"/>
      <c r="I188" s="247"/>
      <c r="J188" s="246"/>
      <c r="K188" s="246"/>
      <c r="L188" s="246"/>
      <c r="M188" s="246"/>
      <c r="N188" s="246"/>
    </row>
    <row r="189" spans="1:14" s="248" customFormat="1" ht="15" customHeight="1">
      <c r="A189" s="250">
        <v>3.8210099999999998</v>
      </c>
      <c r="B189" s="251" t="s">
        <v>2685</v>
      </c>
      <c r="C189" s="252" t="str">
        <f>VLOOKUP($B189,'[4]Data - DO NOT PRINT'!$B$3:$G$297,2,FALSE)</f>
        <v>Passage</v>
      </c>
      <c r="D189" s="253" t="str">
        <f>VLOOKUP($B189,'[4]Data - DO NOT PRINT'!$B$3:$G$297,3,FALSE)</f>
        <v>Main Deck</v>
      </c>
      <c r="E189" s="253">
        <f>VLOOKUP($B189,'[4]Data - DO NOT PRINT'!$B$3:$G$297,4,FALSE)</f>
        <v>1.26</v>
      </c>
      <c r="F189" s="253">
        <f>VLOOKUP($B189,'[4]Data - DO NOT PRINT'!$B$3:$G$297,5,FALSE)</f>
        <v>3.52</v>
      </c>
      <c r="G189" s="254" t="str">
        <f>IF(VLOOKUP($B189,'[4]Data - DO NOT PRINT'!$B$3:$G$297,6,FALSE)=0,"",VLOOKUP($B189,'[4]Data - DO NOT PRINT'!$B$3:$G$297,6,FALSE))</f>
        <v/>
      </c>
      <c r="H189" s="246"/>
      <c r="I189" s="247"/>
      <c r="J189" s="246"/>
      <c r="K189" s="246"/>
      <c r="L189" s="246"/>
      <c r="M189" s="246"/>
      <c r="N189" s="246"/>
    </row>
    <row r="190" spans="1:14" s="248" customFormat="1" ht="15" customHeight="1">
      <c r="A190" s="250">
        <v>3.8210099999999998</v>
      </c>
      <c r="B190" s="251" t="s">
        <v>2686</v>
      </c>
      <c r="C190" s="252" t="str">
        <f>VLOOKUP($B190,'[4]Data - DO NOT PRINT'!$B$3:$G$297,2,FALSE)</f>
        <v>Passage</v>
      </c>
      <c r="D190" s="253" t="str">
        <f>VLOOKUP($B190,'[4]Data - DO NOT PRINT'!$B$3:$G$297,3,FALSE)</f>
        <v>1st Platform</v>
      </c>
      <c r="E190" s="253">
        <f>VLOOKUP($B190,'[4]Data - DO NOT PRINT'!$B$3:$G$297,4,FALSE)</f>
        <v>14.06</v>
      </c>
      <c r="F190" s="253">
        <f>VLOOKUP($B190,'[4]Data - DO NOT PRINT'!$B$3:$G$297,5,FALSE)</f>
        <v>50.5</v>
      </c>
      <c r="G190" s="254" t="str">
        <f>IF(VLOOKUP($B190,'[4]Data - DO NOT PRINT'!$B$3:$G$297,6,FALSE)=0,"",VLOOKUP($B190,'[4]Data - DO NOT PRINT'!$B$3:$G$297,6,FALSE))</f>
        <v/>
      </c>
      <c r="H190" s="246"/>
      <c r="I190" s="247"/>
      <c r="J190" s="246"/>
      <c r="K190" s="246"/>
      <c r="L190" s="246"/>
      <c r="M190" s="246"/>
      <c r="N190" s="246"/>
    </row>
    <row r="191" spans="1:14" s="248" customFormat="1" ht="15" customHeight="1">
      <c r="A191" s="250">
        <v>3.8210099999999998</v>
      </c>
      <c r="B191" s="251" t="s">
        <v>2687</v>
      </c>
      <c r="C191" s="252" t="str">
        <f>VLOOKUP($B191,'[4]Data - DO NOT PRINT'!$B$3:$G$297,2,FALSE)</f>
        <v>Passage</v>
      </c>
      <c r="D191" s="253" t="str">
        <f>VLOOKUP($B191,'[4]Data - DO NOT PRINT'!$B$3:$G$297,3,FALSE)</f>
        <v>1st Platform</v>
      </c>
      <c r="E191" s="253">
        <f>VLOOKUP($B191,'[4]Data - DO NOT PRINT'!$B$3:$G$297,4,FALSE)</f>
        <v>21.44</v>
      </c>
      <c r="F191" s="253">
        <f>VLOOKUP($B191,'[4]Data - DO NOT PRINT'!$B$3:$G$297,5,FALSE)</f>
        <v>70.540000000000006</v>
      </c>
      <c r="G191" s="254" t="str">
        <f>IF(VLOOKUP($B191,'[4]Data - DO NOT PRINT'!$B$3:$G$297,6,FALSE)=0,"",VLOOKUP($B191,'[4]Data - DO NOT PRINT'!$B$3:$G$297,6,FALSE))</f>
        <v/>
      </c>
      <c r="H191" s="246"/>
      <c r="I191" s="247"/>
      <c r="J191" s="246"/>
      <c r="K191" s="246"/>
      <c r="L191" s="246"/>
      <c r="M191" s="246"/>
      <c r="N191" s="246"/>
    </row>
    <row r="192" spans="1:14" s="248" customFormat="1" ht="15" customHeight="1">
      <c r="A192" s="250">
        <v>3.8210099999999998</v>
      </c>
      <c r="B192" s="251" t="s">
        <v>2688</v>
      </c>
      <c r="C192" s="252" t="str">
        <f>VLOOKUP($B192,'[4]Data - DO NOT PRINT'!$B$3:$G$297,2,FALSE)</f>
        <v>Passage</v>
      </c>
      <c r="D192" s="253" t="str">
        <f>VLOOKUP($B192,'[4]Data - DO NOT PRINT'!$B$3:$G$297,3,FALSE)</f>
        <v>1st Platform</v>
      </c>
      <c r="E192" s="253">
        <f>VLOOKUP($B192,'[4]Data - DO NOT PRINT'!$B$3:$G$297,4,FALSE)</f>
        <v>27.27</v>
      </c>
      <c r="F192" s="253">
        <f>VLOOKUP($B192,'[4]Data - DO NOT PRINT'!$B$3:$G$297,5,FALSE)</f>
        <v>77.419999999999987</v>
      </c>
      <c r="G192" s="254" t="str">
        <f>IF(VLOOKUP($B192,'[4]Data - DO NOT PRINT'!$B$3:$G$297,6,FALSE)=0,"",VLOOKUP($B192,'[4]Data - DO NOT PRINT'!$B$3:$G$297,6,FALSE))</f>
        <v/>
      </c>
      <c r="H192" s="246"/>
      <c r="I192" s="247"/>
      <c r="J192" s="246"/>
      <c r="K192" s="246"/>
      <c r="L192" s="246"/>
      <c r="M192" s="246"/>
      <c r="N192" s="246"/>
    </row>
    <row r="193" spans="1:14" s="248" customFormat="1" ht="15" customHeight="1">
      <c r="A193" s="250">
        <v>3.8210099999999998</v>
      </c>
      <c r="B193" s="251" t="s">
        <v>2689</v>
      </c>
      <c r="C193" s="252" t="str">
        <f>VLOOKUP($B193,'[4]Data - DO NOT PRINT'!$B$3:$G$297,2,FALSE)</f>
        <v>Passage</v>
      </c>
      <c r="D193" s="253" t="str">
        <f>VLOOKUP($B193,'[4]Data - DO NOT PRINT'!$B$3:$G$297,3,FALSE)</f>
        <v>1st Platform</v>
      </c>
      <c r="E193" s="253">
        <f>VLOOKUP($B193,'[4]Data - DO NOT PRINT'!$B$3:$G$297,4,FALSE)</f>
        <v>16.7</v>
      </c>
      <c r="F193" s="253">
        <f>VLOOKUP($B193,'[4]Data - DO NOT PRINT'!$B$3:$G$297,5,FALSE)</f>
        <v>43.78</v>
      </c>
      <c r="G193" s="254" t="str">
        <f>IF(VLOOKUP($B193,'[4]Data - DO NOT PRINT'!$B$3:$G$297,6,FALSE)=0,"",VLOOKUP($B193,'[4]Data - DO NOT PRINT'!$B$3:$G$297,6,FALSE))</f>
        <v/>
      </c>
      <c r="H193" s="246"/>
      <c r="I193" s="247"/>
      <c r="J193" s="246"/>
      <c r="K193" s="246"/>
      <c r="L193" s="246"/>
      <c r="M193" s="246"/>
      <c r="N193" s="246"/>
    </row>
    <row r="194" spans="1:14" s="248" customFormat="1" ht="15" customHeight="1">
      <c r="A194" s="250">
        <v>3.8210099999999998</v>
      </c>
      <c r="B194" s="251" t="s">
        <v>2690</v>
      </c>
      <c r="C194" s="252" t="str">
        <f>VLOOKUP($B194,'[4]Data - DO NOT PRINT'!$B$3:$G$297,2,FALSE)</f>
        <v>Passage</v>
      </c>
      <c r="D194" s="253" t="str">
        <f>VLOOKUP($B194,'[4]Data - DO NOT PRINT'!$B$3:$G$297,3,FALSE)</f>
        <v>1st Platform</v>
      </c>
      <c r="E194" s="253">
        <f>VLOOKUP($B194,'[4]Data - DO NOT PRINT'!$B$3:$G$297,4,FALSE)</f>
        <v>8.7200000000000006</v>
      </c>
      <c r="F194" s="253">
        <f>VLOOKUP($B194,'[4]Data - DO NOT PRINT'!$B$3:$G$297,5,FALSE)</f>
        <v>21.55</v>
      </c>
      <c r="G194" s="254" t="str">
        <f>IF(VLOOKUP($B194,'[4]Data - DO NOT PRINT'!$B$3:$G$297,6,FALSE)=0,"",VLOOKUP($B194,'[4]Data - DO NOT PRINT'!$B$3:$G$297,6,FALSE))</f>
        <v/>
      </c>
      <c r="H194" s="246"/>
      <c r="I194" s="247"/>
      <c r="J194" s="246"/>
      <c r="K194" s="246"/>
      <c r="L194" s="246"/>
      <c r="M194" s="246"/>
      <c r="N194" s="246"/>
    </row>
    <row r="195" spans="1:14" s="248" customFormat="1" ht="15" customHeight="1">
      <c r="A195" s="250">
        <v>3.8210099999999998</v>
      </c>
      <c r="B195" s="251" t="s">
        <v>2691</v>
      </c>
      <c r="C195" s="252" t="str">
        <f>VLOOKUP($B195,'[4]Data - DO NOT PRINT'!$B$3:$G$297,2,FALSE)</f>
        <v>Passage</v>
      </c>
      <c r="D195" s="253" t="str">
        <f>VLOOKUP($B195,'[4]Data - DO NOT PRINT'!$B$3:$G$297,3,FALSE)</f>
        <v>1st Platform</v>
      </c>
      <c r="E195" s="253">
        <f>VLOOKUP($B195,'[4]Data - DO NOT PRINT'!$B$3:$G$297,4,FALSE)</f>
        <v>11.7594392371</v>
      </c>
      <c r="F195" s="253">
        <f>VLOOKUP($B195,'[4]Data - DO NOT PRINT'!$B$3:$G$297,5,FALSE)</f>
        <v>30.574542016460001</v>
      </c>
      <c r="G195" s="254" t="str">
        <f>IF(VLOOKUP($B195,'[4]Data - DO NOT PRINT'!$B$3:$G$297,6,FALSE)=0,"",VLOOKUP($B195,'[4]Data - DO NOT PRINT'!$B$3:$G$297,6,FALSE))</f>
        <v/>
      </c>
      <c r="H195" s="246"/>
      <c r="I195" s="247"/>
      <c r="J195" s="246"/>
      <c r="K195" s="246"/>
      <c r="L195" s="246"/>
      <c r="M195" s="246"/>
      <c r="N195" s="246"/>
    </row>
    <row r="196" spans="1:14" s="248" customFormat="1" ht="15" customHeight="1">
      <c r="A196" s="250">
        <v>3.8210099999999998</v>
      </c>
      <c r="B196" s="251" t="s">
        <v>2692</v>
      </c>
      <c r="C196" s="252" t="str">
        <f>VLOOKUP($B196,'[4]Data - DO NOT PRINT'!$B$3:$G$297,2,FALSE)</f>
        <v>Passage</v>
      </c>
      <c r="D196" s="253" t="str">
        <f>VLOOKUP($B196,'[4]Data - DO NOT PRINT'!$B$3:$G$297,3,FALSE)</f>
        <v>2nd Platform</v>
      </c>
      <c r="E196" s="253">
        <f>VLOOKUP($B196,'[4]Data - DO NOT PRINT'!$B$3:$G$297,4,FALSE)</f>
        <v>11.64</v>
      </c>
      <c r="F196" s="253">
        <f>VLOOKUP($B196,'[4]Data - DO NOT PRINT'!$B$3:$G$297,5,FALSE)</f>
        <v>40.49</v>
      </c>
      <c r="G196" s="254" t="str">
        <f>IF(VLOOKUP($B196,'[4]Data - DO NOT PRINT'!$B$3:$G$297,6,FALSE)=0,"",VLOOKUP($B196,'[4]Data - DO NOT PRINT'!$B$3:$G$297,6,FALSE))</f>
        <v/>
      </c>
      <c r="H196" s="246"/>
      <c r="I196" s="247"/>
      <c r="J196" s="246"/>
      <c r="K196" s="246"/>
      <c r="L196" s="246"/>
      <c r="M196" s="246"/>
      <c r="N196" s="246"/>
    </row>
    <row r="197" spans="1:14" s="248" customFormat="1" ht="15" customHeight="1">
      <c r="A197" s="250">
        <v>3.8210099999999998</v>
      </c>
      <c r="B197" s="251" t="s">
        <v>2693</v>
      </c>
      <c r="C197" s="252" t="str">
        <f>VLOOKUP($B197,'[4]Data - DO NOT PRINT'!$B$3:$G$297,2,FALSE)</f>
        <v>Passage</v>
      </c>
      <c r="D197" s="253" t="str">
        <f>VLOOKUP($B197,'[4]Data - DO NOT PRINT'!$B$3:$G$297,3,FALSE)</f>
        <v>2nd Platform</v>
      </c>
      <c r="E197" s="253">
        <f>VLOOKUP($B197,'[4]Data - DO NOT PRINT'!$B$3:$G$297,4,FALSE)</f>
        <v>15.47</v>
      </c>
      <c r="F197" s="253">
        <f>VLOOKUP($B197,'[4]Data - DO NOT PRINT'!$B$3:$G$297,5,FALSE)</f>
        <v>43.35</v>
      </c>
      <c r="G197" s="254" t="str">
        <f>IF(VLOOKUP($B197,'[4]Data - DO NOT PRINT'!$B$3:$G$297,6,FALSE)=0,"",VLOOKUP($B197,'[4]Data - DO NOT PRINT'!$B$3:$G$297,6,FALSE))</f>
        <v/>
      </c>
      <c r="H197" s="246"/>
      <c r="I197" s="247"/>
      <c r="J197" s="246"/>
      <c r="K197" s="246"/>
      <c r="L197" s="246"/>
      <c r="M197" s="246"/>
      <c r="N197" s="246"/>
    </row>
    <row r="198" spans="1:14" s="248" customFormat="1" ht="15" customHeight="1">
      <c r="A198" s="250">
        <v>3.8210099999999998</v>
      </c>
      <c r="B198" s="251" t="s">
        <v>2694</v>
      </c>
      <c r="C198" s="252" t="str">
        <f>VLOOKUP($B198,'[4]Data - DO NOT PRINT'!$B$3:$G$297,2,FALSE)</f>
        <v>Passage</v>
      </c>
      <c r="D198" s="253" t="str">
        <f>VLOOKUP($B198,'[4]Data - DO NOT PRINT'!$B$3:$G$297,3,FALSE)</f>
        <v>2nd Platform</v>
      </c>
      <c r="E198" s="253">
        <f>VLOOKUP($B198,'[4]Data - DO NOT PRINT'!$B$3:$G$297,4,FALSE)</f>
        <v>16.940000000000001</v>
      </c>
      <c r="F198" s="253">
        <f>VLOOKUP($B198,'[4]Data - DO NOT PRINT'!$B$3:$G$297,5,FALSE)</f>
        <v>47.36</v>
      </c>
      <c r="G198" s="254" t="str">
        <f>IF(VLOOKUP($B198,'[4]Data - DO NOT PRINT'!$B$3:$G$297,6,FALSE)=0,"",VLOOKUP($B198,'[4]Data - DO NOT PRINT'!$B$3:$G$297,6,FALSE))</f>
        <v/>
      </c>
      <c r="H198" s="246"/>
      <c r="I198" s="247"/>
      <c r="J198" s="246"/>
      <c r="K198" s="246"/>
      <c r="L198" s="246"/>
      <c r="M198" s="246"/>
      <c r="N198" s="246"/>
    </row>
    <row r="199" spans="1:14" s="248" customFormat="1" ht="15" customHeight="1">
      <c r="A199" s="250">
        <v>3.8210299999999999</v>
      </c>
      <c r="B199" s="251" t="s">
        <v>2695</v>
      </c>
      <c r="C199" s="252" t="str">
        <f>VLOOKUP($B199,'[4]Data - DO NOT PRINT'!$B$3:$G$297,2,FALSE)</f>
        <v>Uptake Space</v>
      </c>
      <c r="D199" s="253" t="str">
        <f>VLOOKUP($B199,'[4]Data - DO NOT PRINT'!$B$3:$G$297,3,FALSE)</f>
        <v>03 Level</v>
      </c>
      <c r="E199" s="253">
        <f>VLOOKUP($B199,'[4]Data - DO NOT PRINT'!$B$3:$G$297,4,FALSE)</f>
        <v>31.4</v>
      </c>
      <c r="F199" s="253">
        <f>VLOOKUP($B199,'[4]Data - DO NOT PRINT'!$B$3:$G$297,5,FALSE)</f>
        <v>67.28</v>
      </c>
      <c r="G199" s="254" t="str">
        <f>IF(VLOOKUP($B199,'[4]Data - DO NOT PRINT'!$B$3:$G$297,6,FALSE)=0,"",VLOOKUP($B199,'[4]Data - DO NOT PRINT'!$B$3:$G$297,6,FALSE))</f>
        <v/>
      </c>
      <c r="H199" s="246"/>
      <c r="I199" s="247"/>
      <c r="J199" s="246"/>
      <c r="K199" s="246"/>
      <c r="L199" s="246"/>
      <c r="M199" s="246"/>
      <c r="N199" s="246"/>
    </row>
    <row r="200" spans="1:14" s="248" customFormat="1" ht="15" customHeight="1">
      <c r="A200" s="280">
        <v>3.8210299999999999</v>
      </c>
      <c r="B200" s="251" t="s">
        <v>2696</v>
      </c>
      <c r="C200" s="252" t="str">
        <f>VLOOKUP($B200,'[4]Data - DO NOT PRINT'!$B$3:$G$297,2,FALSE)</f>
        <v>Uptake Space</v>
      </c>
      <c r="D200" s="253" t="str">
        <f>VLOOKUP($B200,'[4]Data - DO NOT PRINT'!$B$3:$G$297,3,FALSE)</f>
        <v>03 Level</v>
      </c>
      <c r="E200" s="253">
        <f>VLOOKUP($B200,'[4]Data - DO NOT PRINT'!$B$3:$G$297,4,FALSE)</f>
        <v>33.44</v>
      </c>
      <c r="F200" s="253">
        <f>VLOOKUP($B200,'[4]Data - DO NOT PRINT'!$B$3:$G$297,5,FALSE)</f>
        <v>66.5</v>
      </c>
      <c r="G200" s="254" t="str">
        <f>IF(VLOOKUP($B200,'[4]Data - DO NOT PRINT'!$B$3:$G$297,6,FALSE)=0,"",VLOOKUP($B200,'[4]Data - DO NOT PRINT'!$B$3:$G$297,6,FALSE))</f>
        <v/>
      </c>
      <c r="H200" s="246"/>
      <c r="I200" s="247"/>
      <c r="J200" s="246"/>
      <c r="K200" s="246"/>
      <c r="L200" s="246"/>
      <c r="M200" s="246"/>
      <c r="N200" s="246"/>
    </row>
    <row r="201" spans="1:14" s="248" customFormat="1" ht="15" customHeight="1">
      <c r="A201" s="250">
        <v>3.8210299999999999</v>
      </c>
      <c r="B201" s="251" t="s">
        <v>2697</v>
      </c>
      <c r="C201" s="252" t="str">
        <f>VLOOKUP($B201,'[4]Data - DO NOT PRINT'!$B$3:$G$297,2,FALSE)</f>
        <v>Access Trunk</v>
      </c>
      <c r="D201" s="253" t="str">
        <f>VLOOKUP($B201,'[4]Data - DO NOT PRINT'!$B$3:$G$297,3,FALSE)</f>
        <v>Main Deck</v>
      </c>
      <c r="E201" s="253">
        <f>VLOOKUP($B201,'[4]Data - DO NOT PRINT'!$B$3:$G$297,4,FALSE)</f>
        <v>3.11</v>
      </c>
      <c r="F201" s="253">
        <f>VLOOKUP($B201,'[4]Data - DO NOT PRINT'!$B$3:$G$297,5,FALSE)</f>
        <v>8.67</v>
      </c>
      <c r="G201" s="254" t="str">
        <f>IF(VLOOKUP($B201,'[4]Data - DO NOT PRINT'!$B$3:$G$297,6,FALSE)=0,"",VLOOKUP($B201,'[4]Data - DO NOT PRINT'!$B$3:$G$297,6,FALSE))</f>
        <v/>
      </c>
      <c r="H201" s="246"/>
      <c r="I201" s="247"/>
      <c r="J201" s="246"/>
      <c r="K201" s="246"/>
      <c r="L201" s="246"/>
      <c r="M201" s="246"/>
      <c r="N201" s="246"/>
    </row>
    <row r="202" spans="1:14" s="248" customFormat="1" ht="15" customHeight="1">
      <c r="A202" s="250">
        <v>3.8210299999999999</v>
      </c>
      <c r="B202" s="251" t="s">
        <v>2698</v>
      </c>
      <c r="C202" s="252" t="str">
        <f>VLOOKUP($B202,'[4]Data - DO NOT PRINT'!$B$3:$G$297,2,FALSE)</f>
        <v>Access Trunk</v>
      </c>
      <c r="D202" s="253" t="str">
        <f>VLOOKUP($B202,'[4]Data - DO NOT PRINT'!$B$3:$G$297,3,FALSE)</f>
        <v>Main Deck</v>
      </c>
      <c r="E202" s="253">
        <f>VLOOKUP($B202,'[4]Data - DO NOT PRINT'!$B$3:$G$297,4,FALSE)</f>
        <v>7.97</v>
      </c>
      <c r="F202" s="253">
        <f>VLOOKUP($B202,'[4]Data - DO NOT PRINT'!$B$3:$G$297,5,FALSE)</f>
        <v>17.600000000000001</v>
      </c>
      <c r="G202" s="254" t="str">
        <f>IF(VLOOKUP($B202,'[4]Data - DO NOT PRINT'!$B$3:$G$297,6,FALSE)=0,"",VLOOKUP($B202,'[4]Data - DO NOT PRINT'!$B$3:$G$297,6,FALSE))</f>
        <v/>
      </c>
      <c r="H202" s="246"/>
      <c r="I202" s="247"/>
      <c r="J202" s="246"/>
      <c r="K202" s="246"/>
      <c r="L202" s="246"/>
      <c r="M202" s="246"/>
      <c r="N202" s="246"/>
    </row>
    <row r="203" spans="1:14" s="248" customFormat="1" ht="15" customHeight="1">
      <c r="A203" s="250">
        <v>2.63001</v>
      </c>
      <c r="B203" s="251" t="s">
        <v>2699</v>
      </c>
      <c r="C203" s="252" t="str">
        <f>VLOOKUP($B203,'[4]Data - DO NOT PRINT'!$B$3:$G$297,2,FALSE)</f>
        <v>Access Trunk</v>
      </c>
      <c r="D203" s="253" t="str">
        <f>VLOOKUP($B203,'[4]Data - DO NOT PRINT'!$B$3:$G$297,3,FALSE)</f>
        <v>1st Platform</v>
      </c>
      <c r="E203" s="253">
        <f>VLOOKUP($B203,'[4]Data - DO NOT PRINT'!$B$3:$G$297,4,FALSE)</f>
        <v>4.72</v>
      </c>
      <c r="F203" s="253">
        <f>VLOOKUP($B203,'[4]Data - DO NOT PRINT'!$B$3:$G$297,5,FALSE)</f>
        <v>12.63</v>
      </c>
      <c r="G203" s="254" t="str">
        <f>IF(VLOOKUP($B203,'[4]Data - DO NOT PRINT'!$B$3:$G$297,6,FALSE)=0,"",VLOOKUP($B203,'[4]Data - DO NOT PRINT'!$B$3:$G$297,6,FALSE))</f>
        <v/>
      </c>
      <c r="H203" s="246"/>
      <c r="I203" s="247"/>
      <c r="J203" s="246"/>
      <c r="K203" s="246"/>
      <c r="L203" s="246"/>
      <c r="M203" s="246"/>
      <c r="N203" s="246"/>
    </row>
    <row r="204" spans="1:14" s="248" customFormat="1" ht="15" customHeight="1">
      <c r="A204" s="250">
        <v>2.63001</v>
      </c>
      <c r="B204" s="251" t="s">
        <v>2700</v>
      </c>
      <c r="C204" s="252" t="str">
        <f>VLOOKUP($B204,'[4]Data - DO NOT PRINT'!$B$3:$G$297,2,FALSE)</f>
        <v>Access Trunk</v>
      </c>
      <c r="D204" s="253" t="str">
        <f>VLOOKUP($B204,'[4]Data - DO NOT PRINT'!$B$3:$G$297,3,FALSE)</f>
        <v>1st Platform</v>
      </c>
      <c r="E204" s="253">
        <f>VLOOKUP($B204,'[4]Data - DO NOT PRINT'!$B$3:$G$297,4,FALSE)</f>
        <v>4.09</v>
      </c>
      <c r="F204" s="253">
        <f>VLOOKUP($B204,'[4]Data - DO NOT PRINT'!$B$3:$G$297,5,FALSE)</f>
        <v>10.629999999999999</v>
      </c>
      <c r="G204" s="254" t="str">
        <f>IF(VLOOKUP($B204,'[4]Data - DO NOT PRINT'!$B$3:$G$297,6,FALSE)=0,"",VLOOKUP($B204,'[4]Data - DO NOT PRINT'!$B$3:$G$297,6,FALSE))</f>
        <v/>
      </c>
      <c r="H204" s="246"/>
      <c r="I204" s="247"/>
      <c r="J204" s="246"/>
      <c r="K204" s="246"/>
      <c r="L204" s="246"/>
      <c r="M204" s="246"/>
      <c r="N204" s="246"/>
    </row>
    <row r="205" spans="1:14" s="248" customFormat="1" ht="15" customHeight="1">
      <c r="A205" s="250">
        <v>3.8210299999999999</v>
      </c>
      <c r="B205" s="251" t="s">
        <v>2701</v>
      </c>
      <c r="C205" s="252" t="str">
        <f>VLOOKUP($B205,'[4]Data - DO NOT PRINT'!$B$3:$G$297,2,FALSE)</f>
        <v>Access Trunk</v>
      </c>
      <c r="D205" s="253" t="str">
        <f>VLOOKUP($B205,'[4]Data - DO NOT PRINT'!$B$3:$G$297,3,FALSE)</f>
        <v>1st Platform</v>
      </c>
      <c r="E205" s="253">
        <f>VLOOKUP($B205,'[4]Data - DO NOT PRINT'!$B$3:$G$297,4,FALSE)</f>
        <v>6.1598492183999998</v>
      </c>
      <c r="F205" s="253">
        <f>VLOOKUP($B205,'[4]Data - DO NOT PRINT'!$B$3:$G$297,5,FALSE)</f>
        <v>16.015607967839998</v>
      </c>
      <c r="G205" s="254" t="str">
        <f>IF(VLOOKUP($B205,'[4]Data - DO NOT PRINT'!$B$3:$G$297,6,FALSE)=0,"",VLOOKUP($B205,'[4]Data - DO NOT PRINT'!$B$3:$G$297,6,FALSE))</f>
        <v/>
      </c>
      <c r="H205" s="246"/>
      <c r="I205" s="247"/>
      <c r="J205" s="246"/>
      <c r="K205" s="246"/>
      <c r="L205" s="246"/>
      <c r="M205" s="246"/>
      <c r="N205" s="246"/>
    </row>
    <row r="206" spans="1:14" s="248" customFormat="1" ht="15" customHeight="1">
      <c r="A206" s="250">
        <v>3.8210299999999999</v>
      </c>
      <c r="B206" s="251" t="s">
        <v>2702</v>
      </c>
      <c r="C206" s="252" t="str">
        <f>VLOOKUP($B206,'[4]Data - DO NOT PRINT'!$B$3:$G$297,2,FALSE)</f>
        <v>Access Trunk</v>
      </c>
      <c r="D206" s="253" t="str">
        <f>VLOOKUP($B206,'[4]Data - DO NOT PRINT'!$B$3:$G$297,3,FALSE)</f>
        <v>2nd Platform</v>
      </c>
      <c r="E206" s="253">
        <f>VLOOKUP($B206,'[4]Data - DO NOT PRINT'!$B$3:$G$297,4,FALSE)</f>
        <v>1.58</v>
      </c>
      <c r="F206" s="253">
        <f>VLOOKUP($B206,'[4]Data - DO NOT PRINT'!$B$3:$G$297,5,FALSE)</f>
        <v>4.53</v>
      </c>
      <c r="G206" s="254" t="str">
        <f>IF(VLOOKUP($B206,'[4]Data - DO NOT PRINT'!$B$3:$G$297,6,FALSE)=0,"",VLOOKUP($B206,'[4]Data - DO NOT PRINT'!$B$3:$G$297,6,FALSE))</f>
        <v/>
      </c>
      <c r="H206" s="246"/>
      <c r="I206" s="247"/>
      <c r="J206" s="246"/>
      <c r="K206" s="246"/>
      <c r="L206" s="246"/>
      <c r="M206" s="246"/>
      <c r="N206" s="246"/>
    </row>
    <row r="207" spans="1:14" s="248" customFormat="1" ht="15" customHeight="1">
      <c r="A207" s="250">
        <v>3.8210299999999999</v>
      </c>
      <c r="B207" s="251" t="s">
        <v>2703</v>
      </c>
      <c r="C207" s="252" t="str">
        <f>VLOOKUP($B207,'[4]Data - DO NOT PRINT'!$B$3:$G$297,2,FALSE)</f>
        <v>Access Trunk</v>
      </c>
      <c r="D207" s="253" t="str">
        <f>VLOOKUP($B207,'[4]Data - DO NOT PRINT'!$B$3:$G$297,3,FALSE)</f>
        <v>2nd Platform</v>
      </c>
      <c r="E207" s="253">
        <f>VLOOKUP($B207,'[4]Data - DO NOT PRINT'!$B$3:$G$297,4,FALSE)</f>
        <v>1.17</v>
      </c>
      <c r="F207" s="253">
        <f>VLOOKUP($B207,'[4]Data - DO NOT PRINT'!$B$3:$G$297,5,FALSE)</f>
        <v>3.28</v>
      </c>
      <c r="G207" s="254" t="str">
        <f>IF(VLOOKUP($B207,'[4]Data - DO NOT PRINT'!$B$3:$G$297,6,FALSE)=0,"",VLOOKUP($B207,'[4]Data - DO NOT PRINT'!$B$3:$G$297,6,FALSE))</f>
        <v/>
      </c>
      <c r="H207" s="246"/>
      <c r="I207" s="247"/>
      <c r="J207" s="246"/>
      <c r="K207" s="246"/>
      <c r="L207" s="246"/>
      <c r="M207" s="246"/>
      <c r="N207" s="246"/>
    </row>
    <row r="208" spans="1:14" s="248" customFormat="1" ht="15" customHeight="1">
      <c r="A208" s="250">
        <v>3.8220100000000001</v>
      </c>
      <c r="B208" s="251" t="s">
        <v>2704</v>
      </c>
      <c r="C208" s="252" t="str">
        <f>VLOOKUP($B208,'[4]Data - DO NOT PRINT'!$B$3:$G$297,2,FALSE)</f>
        <v>Escape Trunk</v>
      </c>
      <c r="D208" s="253" t="str">
        <f>VLOOKUP($B208,'[4]Data - DO NOT PRINT'!$B$3:$G$297,3,FALSE)</f>
        <v>1st Platform</v>
      </c>
      <c r="E208" s="253">
        <f>VLOOKUP($B208,'[4]Data - DO NOT PRINT'!$B$3:$G$297,4,FALSE)</f>
        <v>1.2</v>
      </c>
      <c r="F208" s="253">
        <f>VLOOKUP($B208,'[4]Data - DO NOT PRINT'!$B$3:$G$297,5,FALSE)</f>
        <v>3.76</v>
      </c>
      <c r="G208" s="254" t="str">
        <f>IF(VLOOKUP($B208,'[4]Data - DO NOT PRINT'!$B$3:$G$297,6,FALSE)=0,"",VLOOKUP($B208,'[4]Data - DO NOT PRINT'!$B$3:$G$297,6,FALSE))</f>
        <v>Main Deck</v>
      </c>
      <c r="H208" s="246"/>
      <c r="I208" s="247"/>
      <c r="J208" s="246"/>
      <c r="K208" s="246"/>
      <c r="L208" s="246"/>
      <c r="M208" s="246"/>
      <c r="N208" s="246"/>
    </row>
    <row r="209" spans="1:14" s="248" customFormat="1" ht="15" customHeight="1">
      <c r="A209" s="250">
        <v>3.8220100000000001</v>
      </c>
      <c r="B209" s="251" t="s">
        <v>2705</v>
      </c>
      <c r="C209" s="252" t="str">
        <f>VLOOKUP($B209,'[4]Data - DO NOT PRINT'!$B$3:$G$297,2,FALSE)</f>
        <v>Escape Trunk</v>
      </c>
      <c r="D209" s="253" t="str">
        <f>VLOOKUP($B209,'[4]Data - DO NOT PRINT'!$B$3:$G$297,3,FALSE)</f>
        <v>1st Platform</v>
      </c>
      <c r="E209" s="253">
        <f>VLOOKUP($B209,'[4]Data - DO NOT PRINT'!$B$3:$G$297,4,FALSE)</f>
        <v>1.35</v>
      </c>
      <c r="F209" s="253">
        <f>VLOOKUP($B209,'[4]Data - DO NOT PRINT'!$B$3:$G$297,5,FALSE)</f>
        <v>4.59</v>
      </c>
      <c r="G209" s="254" t="str">
        <f>IF(VLOOKUP($B209,'[4]Data - DO NOT PRINT'!$B$3:$G$297,6,FALSE)=0,"",VLOOKUP($B209,'[4]Data - DO NOT PRINT'!$B$3:$G$297,6,FALSE))</f>
        <v>Main Deck</v>
      </c>
      <c r="H209" s="246"/>
      <c r="I209" s="247"/>
      <c r="J209" s="246"/>
      <c r="K209" s="246"/>
      <c r="L209" s="246"/>
      <c r="M209" s="246"/>
      <c r="N209" s="246"/>
    </row>
    <row r="210" spans="1:14" s="248" customFormat="1" ht="15" customHeight="1" thickBot="1">
      <c r="A210" s="257">
        <v>3.8220100000000001</v>
      </c>
      <c r="B210" s="258" t="s">
        <v>2706</v>
      </c>
      <c r="C210" s="259" t="str">
        <f>VLOOKUP($B210,'[4]Data - DO NOT PRINT'!$B$3:$G$297,2,FALSE)</f>
        <v>Escape Trunk</v>
      </c>
      <c r="D210" s="260" t="str">
        <f>VLOOKUP($B210,'[4]Data - DO NOT PRINT'!$B$3:$G$297,3,FALSE)</f>
        <v>2nd Platform</v>
      </c>
      <c r="E210" s="260">
        <f>VLOOKUP($B210,'[4]Data - DO NOT PRINT'!$B$3:$G$297,4,FALSE)</f>
        <v>4.42</v>
      </c>
      <c r="F210" s="260">
        <f>VLOOKUP($B210,'[4]Data - DO NOT PRINT'!$B$3:$G$297,5,FALSE)</f>
        <v>21.28</v>
      </c>
      <c r="G210" s="261" t="str">
        <f>IF(VLOOKUP($B210,'[4]Data - DO NOT PRINT'!$B$3:$G$297,6,FALSE)=0,"",VLOOKUP($B210,'[4]Data - DO NOT PRINT'!$B$3:$G$297,6,FALSE))</f>
        <v>Main Deck</v>
      </c>
      <c r="H210" s="246"/>
      <c r="I210" s="247"/>
      <c r="J210" s="246"/>
      <c r="K210" s="246"/>
      <c r="L210" s="246"/>
      <c r="M210" s="246"/>
      <c r="N210" s="246"/>
    </row>
    <row r="211" spans="1:14" s="248" customFormat="1" ht="15" customHeight="1" thickBot="1">
      <c r="A211" s="262"/>
      <c r="B211" s="431" t="s">
        <v>2707</v>
      </c>
      <c r="C211" s="431"/>
      <c r="D211" s="432"/>
      <c r="E211" s="263">
        <f>SUBTOTAL(9,E179:E210)</f>
        <v>409.93928845550005</v>
      </c>
      <c r="F211" s="263">
        <f>SUBTOTAL(9,F179:F210)</f>
        <v>1075.2801499842997</v>
      </c>
      <c r="G211" s="264"/>
      <c r="H211" s="246"/>
      <c r="I211" s="265"/>
      <c r="J211" s="266"/>
      <c r="K211" s="267"/>
      <c r="L211" s="268"/>
      <c r="M211" s="246"/>
      <c r="N211" s="246"/>
    </row>
    <row r="212" spans="1:14" s="248" customFormat="1" ht="15" customHeight="1">
      <c r="A212" s="269">
        <v>3.9110200000000002</v>
      </c>
      <c r="B212" s="270" t="s">
        <v>2708</v>
      </c>
      <c r="C212" s="271" t="str">
        <f>VLOOKUP($B212,'[4]Data - DO NOT PRINT'!$B$3:$G$297,2,FALSE)</f>
        <v>Fuel Oil Tank</v>
      </c>
      <c r="D212" s="272" t="str">
        <f>VLOOKUP($B212,'[4]Data - DO NOT PRINT'!$B$3:$G$297,3,FALSE)</f>
        <v>Tank Top</v>
      </c>
      <c r="E212" s="272">
        <f>VLOOKUP($B212,'[4]Data - DO NOT PRINT'!$B$3:$G$297,4,FALSE)</f>
        <v>0</v>
      </c>
      <c r="F212" s="272">
        <f>VLOOKUP($B212,'[4]Data - DO NOT PRINT'!$B$3:$G$297,5,FALSE)</f>
        <v>13.34</v>
      </c>
      <c r="G212" s="273" t="str">
        <f>IF(VLOOKUP($B212,'[4]Data - DO NOT PRINT'!$B$3:$G$297,6,FALSE)=0,"",VLOOKUP($B212,'[4]Data - DO NOT PRINT'!$B$3:$G$297,6,FALSE))</f>
        <v/>
      </c>
      <c r="H212" s="246"/>
      <c r="I212" s="247"/>
      <c r="J212" s="246"/>
      <c r="K212" s="246"/>
      <c r="L212" s="246"/>
      <c r="M212" s="246"/>
      <c r="N212" s="246"/>
    </row>
    <row r="213" spans="1:14" s="248" customFormat="1" ht="15" customHeight="1">
      <c r="A213" s="280">
        <v>3.9110200000000002</v>
      </c>
      <c r="B213" s="251" t="s">
        <v>2709</v>
      </c>
      <c r="C213" s="252" t="str">
        <f>VLOOKUP($B213,'[4]Data - DO NOT PRINT'!$B$3:$G$297,2,FALSE)</f>
        <v>Fuel Oil Tank</v>
      </c>
      <c r="D213" s="253" t="str">
        <f>VLOOKUP($B213,'[4]Data - DO NOT PRINT'!$B$3:$G$297,3,FALSE)</f>
        <v>Tank Top</v>
      </c>
      <c r="E213" s="253">
        <f>VLOOKUP($B213,'[4]Data - DO NOT PRINT'!$B$3:$G$297,4,FALSE)</f>
        <v>0</v>
      </c>
      <c r="F213" s="253">
        <f>VLOOKUP($B213,'[4]Data - DO NOT PRINT'!$B$3:$G$297,5,FALSE)</f>
        <v>13.34</v>
      </c>
      <c r="G213" s="254" t="str">
        <f>IF(VLOOKUP($B213,'[4]Data - DO NOT PRINT'!$B$3:$G$297,6,FALSE)=0,"",VLOOKUP($B213,'[4]Data - DO NOT PRINT'!$B$3:$G$297,6,FALSE))</f>
        <v/>
      </c>
      <c r="H213" s="246"/>
      <c r="I213" s="247"/>
      <c r="J213" s="246"/>
      <c r="K213" s="246"/>
      <c r="L213" s="246"/>
      <c r="M213" s="246"/>
      <c r="N213" s="246"/>
    </row>
    <row r="214" spans="1:14" s="248" customFormat="1" ht="15" customHeight="1">
      <c r="A214" s="250">
        <v>3.9110200000000002</v>
      </c>
      <c r="B214" s="251" t="s">
        <v>2710</v>
      </c>
      <c r="C214" s="252" t="str">
        <f>VLOOKUP($B214,'[4]Data - DO NOT PRINT'!$B$3:$G$297,2,FALSE)</f>
        <v>Fuel Oil Tank</v>
      </c>
      <c r="D214" s="253" t="str">
        <f>VLOOKUP($B214,'[4]Data - DO NOT PRINT'!$B$3:$G$297,3,FALSE)</f>
        <v>Hold</v>
      </c>
      <c r="E214" s="253">
        <f>VLOOKUP($B214,'[4]Data - DO NOT PRINT'!$B$3:$G$297,4,FALSE)</f>
        <v>0</v>
      </c>
      <c r="F214" s="253">
        <f>VLOOKUP($B214,'[4]Data - DO NOT PRINT'!$B$3:$G$297,5,FALSE)</f>
        <v>33.08</v>
      </c>
      <c r="G214" s="254" t="str">
        <f>IF(VLOOKUP($B214,'[4]Data - DO NOT PRINT'!$B$3:$G$297,6,FALSE)=0,"",VLOOKUP($B214,'[4]Data - DO NOT PRINT'!$B$3:$G$297,6,FALSE))</f>
        <v/>
      </c>
      <c r="H214" s="246"/>
      <c r="I214" s="247"/>
      <c r="J214" s="246"/>
      <c r="K214" s="246"/>
      <c r="L214" s="246"/>
      <c r="M214" s="246"/>
      <c r="N214" s="246"/>
    </row>
    <row r="215" spans="1:14" s="248" customFormat="1" ht="15" customHeight="1">
      <c r="A215" s="250">
        <v>3.9110200000000002</v>
      </c>
      <c r="B215" s="251" t="s">
        <v>2711</v>
      </c>
      <c r="C215" s="252" t="str">
        <f>VLOOKUP($B215,'[4]Data - DO NOT PRINT'!$B$3:$G$297,2,FALSE)</f>
        <v>Fuel Oil Tank</v>
      </c>
      <c r="D215" s="253" t="str">
        <f>VLOOKUP($B215,'[4]Data - DO NOT PRINT'!$B$3:$G$297,3,FALSE)</f>
        <v>Hold</v>
      </c>
      <c r="E215" s="253">
        <f>VLOOKUP($B215,'[4]Data - DO NOT PRINT'!$B$3:$G$297,4,FALSE)</f>
        <v>0</v>
      </c>
      <c r="F215" s="253">
        <f>VLOOKUP($B215,'[4]Data - DO NOT PRINT'!$B$3:$G$297,5,FALSE)</f>
        <v>36.5</v>
      </c>
      <c r="G215" s="254" t="str">
        <f>IF(VLOOKUP($B215,'[4]Data - DO NOT PRINT'!$B$3:$G$297,6,FALSE)=0,"",VLOOKUP($B215,'[4]Data - DO NOT PRINT'!$B$3:$G$297,6,FALSE))</f>
        <v/>
      </c>
      <c r="H215" s="246"/>
      <c r="I215" s="247"/>
      <c r="J215" s="246"/>
      <c r="K215" s="246"/>
      <c r="L215" s="246"/>
      <c r="M215" s="246"/>
      <c r="N215" s="246"/>
    </row>
    <row r="216" spans="1:14" s="248" customFormat="1" ht="15" customHeight="1">
      <c r="A216" s="250">
        <v>3.9110200000000002</v>
      </c>
      <c r="B216" s="251" t="s">
        <v>2712</v>
      </c>
      <c r="C216" s="252" t="str">
        <f>VLOOKUP($B216,'[4]Data - DO NOT PRINT'!$B$3:$G$297,2,FALSE)</f>
        <v>Fuel Oil Tank</v>
      </c>
      <c r="D216" s="253" t="str">
        <f>VLOOKUP($B216,'[4]Data - DO NOT PRINT'!$B$3:$G$297,3,FALSE)</f>
        <v>Hold</v>
      </c>
      <c r="E216" s="253">
        <f>VLOOKUP($B216,'[4]Data - DO NOT PRINT'!$B$3:$G$297,4,FALSE)</f>
        <v>0</v>
      </c>
      <c r="F216" s="253">
        <f>VLOOKUP($B216,'[4]Data - DO NOT PRINT'!$B$3:$G$297,5,FALSE)</f>
        <v>61.68</v>
      </c>
      <c r="G216" s="254" t="str">
        <f>IF(VLOOKUP($B216,'[4]Data - DO NOT PRINT'!$B$3:$G$297,6,FALSE)=0,"",VLOOKUP($B216,'[4]Data - DO NOT PRINT'!$B$3:$G$297,6,FALSE))</f>
        <v/>
      </c>
      <c r="H216" s="246"/>
      <c r="I216" s="247"/>
      <c r="J216" s="246"/>
      <c r="K216" s="246"/>
      <c r="L216" s="246"/>
      <c r="M216" s="246"/>
      <c r="N216" s="246"/>
    </row>
    <row r="217" spans="1:14" s="248" customFormat="1" ht="15" customHeight="1">
      <c r="A217" s="250">
        <v>3.9110200000000002</v>
      </c>
      <c r="B217" s="251" t="s">
        <v>2713</v>
      </c>
      <c r="C217" s="252" t="str">
        <f>VLOOKUP($B217,'[4]Data - DO NOT PRINT'!$B$3:$G$297,2,FALSE)</f>
        <v>Fuel Oil Tank</v>
      </c>
      <c r="D217" s="253" t="str">
        <f>VLOOKUP($B217,'[4]Data - DO NOT PRINT'!$B$3:$G$297,3,FALSE)</f>
        <v>Hold</v>
      </c>
      <c r="E217" s="253">
        <f>VLOOKUP($B217,'[4]Data - DO NOT PRINT'!$B$3:$G$297,4,FALSE)</f>
        <v>0</v>
      </c>
      <c r="F217" s="253">
        <f>VLOOKUP($B217,'[4]Data - DO NOT PRINT'!$B$3:$G$297,5,FALSE)</f>
        <v>38.11</v>
      </c>
      <c r="G217" s="254" t="str">
        <f>IF(VLOOKUP($B217,'[4]Data - DO NOT PRINT'!$B$3:$G$297,6,FALSE)=0,"",VLOOKUP($B217,'[4]Data - DO NOT PRINT'!$B$3:$G$297,6,FALSE))</f>
        <v>LCS 5 - 13 Only</v>
      </c>
      <c r="H217" s="246"/>
      <c r="I217" s="247"/>
      <c r="J217" s="246"/>
      <c r="K217" s="246"/>
      <c r="L217" s="246"/>
      <c r="M217" s="246"/>
      <c r="N217" s="246"/>
    </row>
    <row r="218" spans="1:14" s="248" customFormat="1" ht="15" customHeight="1">
      <c r="A218" s="250">
        <v>3.9110200000000002</v>
      </c>
      <c r="B218" s="251" t="s">
        <v>2714</v>
      </c>
      <c r="C218" s="252" t="str">
        <f>VLOOKUP($B218,'[4]Data - DO NOT PRINT'!$B$300:$G$305,2,FALSE)</f>
        <v>Fuel Oil Service Tank</v>
      </c>
      <c r="D218" s="253" t="str">
        <f>VLOOKUP($B218,'[4]Data - DO NOT PRINT'!$B$300:$G$305,3,FALSE)</f>
        <v>Hold</v>
      </c>
      <c r="E218" s="253">
        <f>VLOOKUP($B218,'[4]Data - DO NOT PRINT'!$B$300:$G$305,4,FALSE)</f>
        <v>0</v>
      </c>
      <c r="F218" s="253">
        <f>VLOOKUP($B218,'[4]Data - DO NOT PRINT'!$B$300:$G$305,5,FALSE)</f>
        <v>19.100000000000001</v>
      </c>
      <c r="G218" s="254" t="str">
        <f>IF(VLOOKUP($B218,'[4]Data - DO NOT PRINT'!$B$300:$G$305,6,FALSE)=0,"",VLOOKUP($B218,'[4]Data - DO NOT PRINT'!$B$300:$G$305,6,FALSE))</f>
        <v>LCS 15AF</v>
      </c>
      <c r="H218" s="246"/>
      <c r="I218" s="247" t="s">
        <v>2715</v>
      </c>
      <c r="J218" s="246"/>
      <c r="K218" s="246"/>
      <c r="L218" s="246"/>
      <c r="M218" s="246"/>
      <c r="N218" s="246"/>
    </row>
    <row r="219" spans="1:14" s="248" customFormat="1" ht="15" customHeight="1">
      <c r="A219" s="250">
        <v>3.9110200000000002</v>
      </c>
      <c r="B219" s="251" t="s">
        <v>2716</v>
      </c>
      <c r="C219" s="252" t="str">
        <f>VLOOKUP($B219,'[4]Data - DO NOT PRINT'!$B$300:$G$305,2,FALSE)</f>
        <v>Fuel Oil Service Tank</v>
      </c>
      <c r="D219" s="253" t="str">
        <f>VLOOKUP($B219,'[4]Data - DO NOT PRINT'!$B$300:$G$305,3,FALSE)</f>
        <v>Hold</v>
      </c>
      <c r="E219" s="253">
        <f>VLOOKUP($B219,'[4]Data - DO NOT PRINT'!$B$300:$G$305,4,FALSE)</f>
        <v>0</v>
      </c>
      <c r="F219" s="253">
        <f>VLOOKUP($B219,'[4]Data - DO NOT PRINT'!$B$300:$G$305,5,FALSE)</f>
        <v>19.100000000000001</v>
      </c>
      <c r="G219" s="254" t="str">
        <f>IF(VLOOKUP($B219,'[4]Data - DO NOT PRINT'!$B$300:$G$305,6,FALSE)=0,"",VLOOKUP($B219,'[4]Data - DO NOT PRINT'!$B$300:$G$305,6,FALSE))</f>
        <v>LCS 15AF</v>
      </c>
      <c r="H219" s="246"/>
      <c r="I219" s="247" t="s">
        <v>2715</v>
      </c>
      <c r="J219" s="246"/>
      <c r="K219" s="246"/>
      <c r="L219" s="246"/>
      <c r="M219" s="246"/>
      <c r="N219" s="246"/>
    </row>
    <row r="220" spans="1:14" s="248" customFormat="1" ht="15" customHeight="1">
      <c r="A220" s="280">
        <v>3.9110200000000002</v>
      </c>
      <c r="B220" s="251" t="s">
        <v>2717</v>
      </c>
      <c r="C220" s="252" t="str">
        <f>VLOOKUP($B220,'[4]Data - DO NOT PRINT'!$B$3:$G$297,2,FALSE)</f>
        <v>Fuel Oil Tank</v>
      </c>
      <c r="D220" s="253" t="str">
        <f>VLOOKUP($B220,'[4]Data - DO NOT PRINT'!$B$3:$G$297,3,FALSE)</f>
        <v>Hold</v>
      </c>
      <c r="E220" s="253">
        <f>VLOOKUP($B220,'[4]Data - DO NOT PRINT'!$B$3:$G$297,4,FALSE)</f>
        <v>0</v>
      </c>
      <c r="F220" s="253">
        <f>VLOOKUP($B220,'[4]Data - DO NOT PRINT'!$B$3:$G$297,5,FALSE)</f>
        <v>33.99</v>
      </c>
      <c r="G220" s="254" t="str">
        <f>IF(VLOOKUP($B220,'[4]Data - DO NOT PRINT'!$B$3:$G$297,6,FALSE)=0,"",VLOOKUP($B220,'[4]Data - DO NOT PRINT'!$B$3:$G$297,6,FALSE))</f>
        <v/>
      </c>
      <c r="H220" s="246"/>
      <c r="I220" s="247"/>
      <c r="J220" s="246"/>
      <c r="K220" s="246"/>
      <c r="L220" s="246"/>
      <c r="M220" s="246"/>
      <c r="N220" s="246"/>
    </row>
    <row r="221" spans="1:14" s="248" customFormat="1" ht="15" customHeight="1">
      <c r="A221" s="250">
        <v>3.9110200000000002</v>
      </c>
      <c r="B221" s="251" t="s">
        <v>2718</v>
      </c>
      <c r="C221" s="252" t="str">
        <f>VLOOKUP($B221,'[4]Data - DO NOT PRINT'!$B$3:$G$297,2,FALSE)</f>
        <v>Fuel Oil Tank</v>
      </c>
      <c r="D221" s="253" t="str">
        <f>VLOOKUP($B221,'[4]Data - DO NOT PRINT'!$B$3:$G$297,3,FALSE)</f>
        <v>Hold</v>
      </c>
      <c r="E221" s="253">
        <f>VLOOKUP($B221,'[4]Data - DO NOT PRINT'!$B$3:$G$297,4,FALSE)</f>
        <v>0</v>
      </c>
      <c r="F221" s="253">
        <f>VLOOKUP($B221,'[4]Data - DO NOT PRINT'!$B$3:$G$297,5,FALSE)</f>
        <v>74.47</v>
      </c>
      <c r="G221" s="254" t="str">
        <f>IF(VLOOKUP($B221,'[4]Data - DO NOT PRINT'!$B$3:$G$297,6,FALSE)=0,"",VLOOKUP($B221,'[4]Data - DO NOT PRINT'!$B$3:$G$297,6,FALSE))</f>
        <v/>
      </c>
      <c r="H221" s="246"/>
      <c r="I221" s="247"/>
      <c r="J221" s="246"/>
      <c r="K221" s="246"/>
      <c r="L221" s="246"/>
      <c r="M221" s="246"/>
      <c r="N221" s="246"/>
    </row>
    <row r="222" spans="1:14" s="248" customFormat="1" ht="15" customHeight="1">
      <c r="A222" s="250">
        <v>3.9110200000000002</v>
      </c>
      <c r="B222" s="251" t="s">
        <v>2719</v>
      </c>
      <c r="C222" s="252" t="str">
        <f>VLOOKUP($B222,'[4]Data - DO NOT PRINT'!$B$3:$G$297,2,FALSE)</f>
        <v>Fuel Oil Tank</v>
      </c>
      <c r="D222" s="253" t="str">
        <f>VLOOKUP($B222,'[4]Data - DO NOT PRINT'!$B$3:$G$297,3,FALSE)</f>
        <v>Hold</v>
      </c>
      <c r="E222" s="253">
        <f>VLOOKUP($B222,'[4]Data - DO NOT PRINT'!$B$3:$G$297,4,FALSE)</f>
        <v>0</v>
      </c>
      <c r="F222" s="253">
        <f>VLOOKUP($B222,'[4]Data - DO NOT PRINT'!$B$3:$G$297,5,FALSE)</f>
        <v>77.400000000000006</v>
      </c>
      <c r="G222" s="254" t="str">
        <f>IF(VLOOKUP($B222,'[4]Data - DO NOT PRINT'!$B$3:$G$297,6,FALSE)=0,"",VLOOKUP($B222,'[4]Data - DO NOT PRINT'!$B$3:$G$297,6,FALSE))</f>
        <v/>
      </c>
      <c r="H222" s="246"/>
      <c r="I222" s="247"/>
      <c r="J222" s="246"/>
      <c r="K222" s="246"/>
      <c r="L222" s="246"/>
      <c r="M222" s="246"/>
      <c r="N222" s="246"/>
    </row>
    <row r="223" spans="1:14" s="248" customFormat="1" ht="15" customHeight="1">
      <c r="A223" s="250">
        <v>3.9111099999999999</v>
      </c>
      <c r="B223" s="251" t="s">
        <v>2720</v>
      </c>
      <c r="C223" s="252" t="str">
        <f>VLOOKUP($B223,'[4]Data - DO NOT PRINT'!$B$3:$G$297,2,FALSE)</f>
        <v>Fuel Oil Tank Overflow</v>
      </c>
      <c r="D223" s="253" t="str">
        <f>VLOOKUP($B223,'[4]Data - DO NOT PRINT'!$B$3:$G$297,3,FALSE)</f>
        <v>Hold</v>
      </c>
      <c r="E223" s="253">
        <f>VLOOKUP($B223,'[4]Data - DO NOT PRINT'!$B$3:$G$297,4,FALSE)</f>
        <v>0</v>
      </c>
      <c r="F223" s="253">
        <f>VLOOKUP($B223,'[4]Data - DO NOT PRINT'!$B$3:$G$297,5,FALSE)</f>
        <v>27.79</v>
      </c>
      <c r="G223" s="254" t="str">
        <f>IF(VLOOKUP($B223,'[4]Data - DO NOT PRINT'!$B$3:$G$297,6,FALSE)=0,"",VLOOKUP($B223,'[4]Data - DO NOT PRINT'!$B$3:$G$297,6,FALSE))</f>
        <v/>
      </c>
      <c r="H223" s="246"/>
      <c r="I223" s="247"/>
      <c r="J223" s="246"/>
      <c r="K223" s="246"/>
      <c r="L223" s="246"/>
      <c r="M223" s="246"/>
      <c r="N223" s="246"/>
    </row>
    <row r="224" spans="1:14" s="248" customFormat="1" ht="15" customHeight="1">
      <c r="A224" s="250">
        <v>3.91201</v>
      </c>
      <c r="B224" s="251" t="s">
        <v>2721</v>
      </c>
      <c r="C224" s="252" t="str">
        <f>VLOOKUP($B224,'[4]Data - DO NOT PRINT'!$B$3:$G$297,2,FALSE)</f>
        <v>Fuel Oil Service Tank</v>
      </c>
      <c r="D224" s="253" t="str">
        <f>VLOOKUP($B224,'[4]Data - DO NOT PRINT'!$B$3:$G$297,3,FALSE)</f>
        <v>Hold</v>
      </c>
      <c r="E224" s="253">
        <f>VLOOKUP($B224,'[4]Data - DO NOT PRINT'!$B$3:$G$297,4,FALSE)</f>
        <v>0</v>
      </c>
      <c r="F224" s="253">
        <f>VLOOKUP($B224,'[4]Data - DO NOT PRINT'!$B$3:$G$297,5,FALSE)</f>
        <v>19.87</v>
      </c>
      <c r="G224" s="254" t="str">
        <f>IF(VLOOKUP($B224,'[4]Data - DO NOT PRINT'!$B$3:$G$297,6,FALSE)=0,"",VLOOKUP($B224,'[4]Data - DO NOT PRINT'!$B$3:$G$297,6,FALSE))</f>
        <v>LCS 5 - 13 Only</v>
      </c>
      <c r="H224" s="246"/>
      <c r="I224" s="247"/>
      <c r="J224" s="246"/>
      <c r="K224" s="246"/>
      <c r="L224" s="246"/>
      <c r="M224" s="246"/>
      <c r="N224" s="246"/>
    </row>
    <row r="225" spans="1:14" s="248" customFormat="1" ht="15" customHeight="1">
      <c r="A225" s="250">
        <v>3.91201</v>
      </c>
      <c r="B225" s="251" t="s">
        <v>2722</v>
      </c>
      <c r="C225" s="252" t="str">
        <f>VLOOKUP($B225,'[4]Data - DO NOT PRINT'!$B$3:$G$297,2,FALSE)</f>
        <v>Fuel Oil Service Tank</v>
      </c>
      <c r="D225" s="253" t="str">
        <f>VLOOKUP($B225,'[4]Data - DO NOT PRINT'!$B$3:$G$297,3,FALSE)</f>
        <v>Hold</v>
      </c>
      <c r="E225" s="253">
        <f>VLOOKUP($B225,'[4]Data - DO NOT PRINT'!$B$3:$G$297,4,FALSE)</f>
        <v>0</v>
      </c>
      <c r="F225" s="253">
        <f>VLOOKUP($B225,'[4]Data - DO NOT PRINT'!$B$3:$G$297,5,FALSE)</f>
        <v>19.87</v>
      </c>
      <c r="G225" s="254" t="str">
        <f>IF(VLOOKUP($B225,'[4]Data - DO NOT PRINT'!$B$3:$G$297,6,FALSE)=0,"",VLOOKUP($B225,'[4]Data - DO NOT PRINT'!$B$3:$G$297,6,FALSE))</f>
        <v>LCS 5 - 13 Only</v>
      </c>
      <c r="H225" s="246"/>
      <c r="I225" s="247"/>
      <c r="J225" s="246"/>
      <c r="K225" s="246"/>
      <c r="L225" s="246"/>
      <c r="M225" s="246"/>
      <c r="N225" s="246"/>
    </row>
    <row r="226" spans="1:14" s="248" customFormat="1" ht="15" customHeight="1">
      <c r="A226" s="250">
        <v>3.91201</v>
      </c>
      <c r="B226" s="251" t="s">
        <v>2723</v>
      </c>
      <c r="C226" s="252" t="str">
        <f>VLOOKUP($B226,'[4]Data - DO NOT PRINT'!$B$300:$G$305,2,FALSE)</f>
        <v>Fuel Oil Tank</v>
      </c>
      <c r="D226" s="253" t="str">
        <f>VLOOKUP($B226,'[4]Data - DO NOT PRINT'!$B$300:$G$305,3,FALSE)</f>
        <v>Hold</v>
      </c>
      <c r="E226" s="253">
        <f>VLOOKUP($B226,'[4]Data - DO NOT PRINT'!$B$300:$G$305,4,FALSE)</f>
        <v>0</v>
      </c>
      <c r="F226" s="253">
        <f>VLOOKUP($B226,'[4]Data - DO NOT PRINT'!$B$300:$G$305,5,FALSE)</f>
        <v>38.42</v>
      </c>
      <c r="G226" s="254" t="str">
        <f>IF(VLOOKUP($B226,'[4]Data - DO NOT PRINT'!$B$300:$G$305,6,FALSE)=0,"",VLOOKUP($B226,'[4]Data - DO NOT PRINT'!$B$300:$G$305,6,FALSE))</f>
        <v>LCS 15AF</v>
      </c>
      <c r="H226" s="246"/>
      <c r="I226" s="247" t="s">
        <v>2715</v>
      </c>
      <c r="J226" s="246"/>
      <c r="K226" s="246"/>
      <c r="L226" s="246"/>
      <c r="M226" s="246"/>
      <c r="N226" s="246"/>
    </row>
    <row r="227" spans="1:14" s="248" customFormat="1" ht="15" customHeight="1">
      <c r="A227" s="250">
        <v>3.91208</v>
      </c>
      <c r="B227" s="251" t="s">
        <v>2724</v>
      </c>
      <c r="C227" s="252" t="str">
        <f>VLOOKUP($B227,'[4]Data - DO NOT PRINT'!$B$3:$G$297,2,FALSE)</f>
        <v>Propulsion Diesel Head Tank</v>
      </c>
      <c r="D227" s="253" t="str">
        <f>VLOOKUP($B227,'[4]Data - DO NOT PRINT'!$B$3:$G$297,3,FALSE)</f>
        <v>2nd Platform</v>
      </c>
      <c r="E227" s="253">
        <f>VLOOKUP($B227,'[4]Data - DO NOT PRINT'!$B$3:$G$297,4,FALSE)</f>
        <v>0</v>
      </c>
      <c r="F227" s="253">
        <f>VLOOKUP($B227,'[4]Data - DO NOT PRINT'!$B$3:$G$297,5,FALSE)</f>
        <v>1.03</v>
      </c>
      <c r="G227" s="254" t="str">
        <f>IF(VLOOKUP($B227,'[4]Data - DO NOT PRINT'!$B$3:$G$297,6,FALSE)=0,"",VLOOKUP($B227,'[4]Data - DO NOT PRINT'!$B$3:$G$297,6,FALSE))</f>
        <v/>
      </c>
      <c r="H227" s="246"/>
      <c r="I227" s="247"/>
      <c r="J227" s="246"/>
      <c r="K227" s="246"/>
      <c r="L227" s="246"/>
      <c r="M227" s="246"/>
      <c r="N227" s="246"/>
    </row>
    <row r="228" spans="1:14" s="248" customFormat="1" ht="15" customHeight="1">
      <c r="A228" s="250">
        <v>3.91208</v>
      </c>
      <c r="B228" s="251" t="s">
        <v>2725</v>
      </c>
      <c r="C228" s="252" t="str">
        <f>VLOOKUP($B228,'[4]Data - DO NOT PRINT'!$B$3:$G$297,2,FALSE)</f>
        <v>Propulsion Diesel Head Tank</v>
      </c>
      <c r="D228" s="253" t="str">
        <f>VLOOKUP($B228,'[4]Data - DO NOT PRINT'!$B$3:$G$297,3,FALSE)</f>
        <v>2nd Platform</v>
      </c>
      <c r="E228" s="253">
        <f>VLOOKUP($B228,'[4]Data - DO NOT PRINT'!$B$3:$G$297,4,FALSE)</f>
        <v>0</v>
      </c>
      <c r="F228" s="253">
        <f>VLOOKUP($B228,'[4]Data - DO NOT PRINT'!$B$3:$G$297,5,FALSE)</f>
        <v>1.03</v>
      </c>
      <c r="G228" s="254" t="str">
        <f>IF(VLOOKUP($B228,'[4]Data - DO NOT PRINT'!$B$3:$G$297,6,FALSE)=0,"",VLOOKUP($B228,'[4]Data - DO NOT PRINT'!$B$3:$G$297,6,FALSE))</f>
        <v/>
      </c>
      <c r="H228" s="246"/>
      <c r="I228" s="247"/>
      <c r="J228" s="246"/>
      <c r="K228" s="246"/>
      <c r="L228" s="246"/>
      <c r="M228" s="246"/>
      <c r="N228" s="246"/>
    </row>
    <row r="229" spans="1:14" s="248" customFormat="1" ht="15" customHeight="1">
      <c r="A229" s="280">
        <v>3.91208</v>
      </c>
      <c r="B229" s="251" t="s">
        <v>2726</v>
      </c>
      <c r="C229" s="252" t="str">
        <f>VLOOKUP($B229,'[4]Data - DO NOT PRINT'!$B$3:$G$297,2,FALSE)</f>
        <v>Propulsion Diesel LO Storage Tank</v>
      </c>
      <c r="D229" s="253" t="str">
        <f>VLOOKUP($B229,'[4]Data - DO NOT PRINT'!$B$3:$G$297,3,FALSE)</f>
        <v>Tank Top</v>
      </c>
      <c r="E229" s="253">
        <f>VLOOKUP($B229,'[4]Data - DO NOT PRINT'!$B$3:$G$297,4,FALSE)</f>
        <v>0</v>
      </c>
      <c r="F229" s="253">
        <f>VLOOKUP($B229,'[4]Data - DO NOT PRINT'!$B$3:$G$297,5,FALSE)</f>
        <v>3.88</v>
      </c>
      <c r="G229" s="254" t="str">
        <f>IF(VLOOKUP($B229,'[4]Data - DO NOT PRINT'!$B$3:$G$297,6,FALSE)=0,"",VLOOKUP($B229,'[4]Data - DO NOT PRINT'!$B$3:$G$297,6,FALSE))</f>
        <v/>
      </c>
      <c r="H229" s="246"/>
      <c r="I229" s="247"/>
      <c r="J229" s="246"/>
      <c r="K229" s="246"/>
      <c r="L229" s="246"/>
      <c r="M229" s="246"/>
      <c r="N229" s="246"/>
    </row>
    <row r="230" spans="1:14" s="248" customFormat="1" ht="15" customHeight="1">
      <c r="A230" s="250">
        <v>3.91208</v>
      </c>
      <c r="B230" s="251" t="s">
        <v>2727</v>
      </c>
      <c r="C230" s="252" t="str">
        <f>VLOOKUP($B230,'[4]Data - DO NOT PRINT'!$B$3:$G$297,2,FALSE)</f>
        <v>Propulsion Diesel Dirty Oil Tank</v>
      </c>
      <c r="D230" s="253" t="str">
        <f>VLOOKUP($B230,'[4]Data - DO NOT PRINT'!$B$3:$G$297,3,FALSE)</f>
        <v>Tank Top</v>
      </c>
      <c r="E230" s="253">
        <f>VLOOKUP($B230,'[4]Data - DO NOT PRINT'!$B$3:$G$297,4,FALSE)</f>
        <v>0</v>
      </c>
      <c r="F230" s="253">
        <f>VLOOKUP($B230,'[4]Data - DO NOT PRINT'!$B$3:$G$297,5,FALSE)</f>
        <v>3.96</v>
      </c>
      <c r="G230" s="254" t="str">
        <f>IF(VLOOKUP($B230,'[4]Data - DO NOT PRINT'!$B$3:$G$297,6,FALSE)=0,"",VLOOKUP($B230,'[4]Data - DO NOT PRINT'!$B$3:$G$297,6,FALSE))</f>
        <v/>
      </c>
      <c r="H230" s="246"/>
      <c r="I230" s="247"/>
      <c r="J230" s="246"/>
      <c r="K230" s="246"/>
      <c r="L230" s="246"/>
      <c r="M230" s="246"/>
      <c r="N230" s="246"/>
    </row>
    <row r="231" spans="1:14" s="248" customFormat="1" ht="15" customHeight="1">
      <c r="A231" s="280">
        <v>3.91208</v>
      </c>
      <c r="B231" s="251" t="s">
        <v>2728</v>
      </c>
      <c r="C231" s="252" t="str">
        <f>VLOOKUP($B231,'[4]Data - DO NOT PRINT'!$B$3:$G$297,2,FALSE)</f>
        <v>Propulsion Diesel LO Storage Tank</v>
      </c>
      <c r="D231" s="253" t="str">
        <f>VLOOKUP($B231,'[4]Data - DO NOT PRINT'!$B$3:$G$297,3,FALSE)</f>
        <v>Tank Top</v>
      </c>
      <c r="E231" s="253">
        <f>VLOOKUP($B231,'[4]Data - DO NOT PRINT'!$B$3:$G$297,4,FALSE)</f>
        <v>0</v>
      </c>
      <c r="F231" s="253">
        <f>VLOOKUP($B231,'[4]Data - DO NOT PRINT'!$B$3:$G$297,5,FALSE)</f>
        <v>3.96</v>
      </c>
      <c r="G231" s="254" t="str">
        <f>IF(VLOOKUP($B231,'[4]Data - DO NOT PRINT'!$B$3:$G$297,6,FALSE)=0,"",VLOOKUP($B231,'[4]Data - DO NOT PRINT'!$B$3:$G$297,6,FALSE))</f>
        <v/>
      </c>
      <c r="H231" s="246"/>
      <c r="I231" s="247"/>
      <c r="J231" s="246"/>
      <c r="K231" s="246"/>
      <c r="L231" s="246"/>
      <c r="M231" s="246"/>
      <c r="N231" s="246"/>
    </row>
    <row r="232" spans="1:14" s="248" customFormat="1" ht="15" customHeight="1">
      <c r="A232" s="250">
        <v>3.9121600000000001</v>
      </c>
      <c r="B232" s="251" t="s">
        <v>2729</v>
      </c>
      <c r="C232" s="252" t="str">
        <f>VLOOKUP($B232,'[4]Data - DO NOT PRINT'!$B$3:$G$297,2,FALSE)</f>
        <v>SSDG Fuel Service Tank No. 1</v>
      </c>
      <c r="D232" s="253" t="str">
        <f>VLOOKUP($B232,'[4]Data - DO NOT PRINT'!$B$3:$G$297,3,FALSE)</f>
        <v>Tank Top</v>
      </c>
      <c r="E232" s="253">
        <f>VLOOKUP($B232,'[4]Data - DO NOT PRINT'!$B$3:$G$297,4,FALSE)</f>
        <v>0</v>
      </c>
      <c r="F232" s="253">
        <f>VLOOKUP($B232,'[4]Data - DO NOT PRINT'!$B$3:$G$297,5,FALSE)</f>
        <v>2.87</v>
      </c>
      <c r="G232" s="254" t="str">
        <f>IF(VLOOKUP($B232,'[4]Data - DO NOT PRINT'!$B$3:$G$297,6,FALSE)=0,"",VLOOKUP($B232,'[4]Data - DO NOT PRINT'!$B$3:$G$297,6,FALSE))</f>
        <v>Free Standing Tank</v>
      </c>
      <c r="H232" s="246"/>
      <c r="I232" s="247"/>
      <c r="J232" s="246"/>
      <c r="K232" s="246"/>
      <c r="L232" s="246"/>
      <c r="M232" s="246"/>
      <c r="N232" s="246"/>
    </row>
    <row r="233" spans="1:14" s="248" customFormat="1" ht="15" customHeight="1">
      <c r="A233" s="250">
        <v>3.9121600000000001</v>
      </c>
      <c r="B233" s="251" t="s">
        <v>2730</v>
      </c>
      <c r="C233" s="252" t="str">
        <f>VLOOKUP($B233,'[4]Data - DO NOT PRINT'!$B$3:$G$297,2,FALSE)</f>
        <v>SSDG Fuel Service Tank No. 2</v>
      </c>
      <c r="D233" s="253" t="str">
        <f>VLOOKUP($B233,'[4]Data - DO NOT PRINT'!$B$3:$G$297,3,FALSE)</f>
        <v>Tank Top</v>
      </c>
      <c r="E233" s="253">
        <f>VLOOKUP($B233,'[4]Data - DO NOT PRINT'!$B$3:$G$297,4,FALSE)</f>
        <v>0</v>
      </c>
      <c r="F233" s="253">
        <f>VLOOKUP($B233,'[4]Data - DO NOT PRINT'!$B$3:$G$297,5,FALSE)</f>
        <v>2.87</v>
      </c>
      <c r="G233" s="254" t="str">
        <f>IF(VLOOKUP($B233,'[4]Data - DO NOT PRINT'!$B$3:$G$297,6,FALSE)=0,"",VLOOKUP($B233,'[4]Data - DO NOT PRINT'!$B$3:$G$297,6,FALSE))</f>
        <v>Free Standing Tank</v>
      </c>
      <c r="H233" s="246"/>
      <c r="I233" s="247"/>
      <c r="J233" s="246"/>
      <c r="K233" s="246"/>
      <c r="L233" s="246"/>
      <c r="M233" s="246"/>
      <c r="N233" s="246"/>
    </row>
    <row r="234" spans="1:14" s="248" customFormat="1" ht="15" customHeight="1">
      <c r="A234" s="250">
        <v>3.9121600000000001</v>
      </c>
      <c r="B234" s="251" t="s">
        <v>2731</v>
      </c>
      <c r="C234" s="252" t="str">
        <f>VLOOKUP($B234,'[4]Data - DO NOT PRINT'!$B$3:$G$297,2,FALSE)</f>
        <v>SSDG Lube Oil Storage Tank</v>
      </c>
      <c r="D234" s="253" t="str">
        <f>VLOOKUP($B234,'[4]Data - DO NOT PRINT'!$B$3:$G$297,3,FALSE)</f>
        <v>Tank Top</v>
      </c>
      <c r="E234" s="253">
        <f>VLOOKUP($B234,'[4]Data - DO NOT PRINT'!$B$3:$G$297,4,FALSE)</f>
        <v>0</v>
      </c>
      <c r="F234" s="253">
        <f>VLOOKUP($B234,'[4]Data - DO NOT PRINT'!$B$3:$G$297,5,FALSE)</f>
        <v>0.25</v>
      </c>
      <c r="G234" s="254" t="str">
        <f>IF(VLOOKUP($B234,'[4]Data - DO NOT PRINT'!$B$3:$G$297,6,FALSE)=0,"",VLOOKUP($B234,'[4]Data - DO NOT PRINT'!$B$3:$G$297,6,FALSE))</f>
        <v>Free Standing Tank</v>
      </c>
      <c r="H234" s="246"/>
      <c r="I234" s="247"/>
      <c r="J234" s="246"/>
      <c r="K234" s="246"/>
      <c r="L234" s="246"/>
      <c r="M234" s="246"/>
      <c r="N234" s="246"/>
    </row>
    <row r="235" spans="1:14" s="248" customFormat="1" ht="15" customHeight="1">
      <c r="A235" s="250">
        <v>3.9121600000000001</v>
      </c>
      <c r="B235" s="251" t="s">
        <v>2732</v>
      </c>
      <c r="C235" s="252" t="str">
        <f>VLOOKUP($B235,'[4]Data - DO NOT PRINT'!$B$3:$G$297,2,FALSE)</f>
        <v>SSDG Fuel Service Tank</v>
      </c>
      <c r="D235" s="253" t="str">
        <f>VLOOKUP($B235,'[4]Data - DO NOT PRINT'!$B$3:$G$297,3,FALSE)</f>
        <v>Tank Top</v>
      </c>
      <c r="E235" s="253">
        <f>VLOOKUP($B235,'[4]Data - DO NOT PRINT'!$B$3:$G$297,4,FALSE)</f>
        <v>0</v>
      </c>
      <c r="F235" s="253">
        <f>VLOOKUP($B235,'[4]Data - DO NOT PRINT'!$B$3:$G$297,5,FALSE)</f>
        <v>3.98</v>
      </c>
      <c r="G235" s="254" t="str">
        <f>IF(VLOOKUP($B235,'[4]Data - DO NOT PRINT'!$B$3:$G$297,6,FALSE)=0,"",VLOOKUP($B235,'[4]Data - DO NOT PRINT'!$B$3:$G$297,6,FALSE))</f>
        <v/>
      </c>
      <c r="H235" s="246"/>
      <c r="I235" s="247"/>
      <c r="J235" s="246"/>
      <c r="K235" s="246"/>
      <c r="L235" s="246"/>
      <c r="M235" s="246"/>
      <c r="N235" s="246"/>
    </row>
    <row r="236" spans="1:14" s="248" customFormat="1" ht="15" customHeight="1">
      <c r="A236" s="250">
        <v>3.9121600000000001</v>
      </c>
      <c r="B236" s="251" t="s">
        <v>2733</v>
      </c>
      <c r="C236" s="252" t="str">
        <f>VLOOKUP($B236,'[4]Data - DO NOT PRINT'!$B$3:$G$297,2,FALSE)</f>
        <v>SSDG Fuel Service Tank</v>
      </c>
      <c r="D236" s="253" t="str">
        <f>VLOOKUP($B236,'[4]Data - DO NOT PRINT'!$B$3:$G$297,3,FALSE)</f>
        <v>Tank Top</v>
      </c>
      <c r="E236" s="253">
        <f>VLOOKUP($B236,'[4]Data - DO NOT PRINT'!$B$3:$G$297,4,FALSE)</f>
        <v>0</v>
      </c>
      <c r="F236" s="253">
        <f>VLOOKUP($B236,'[4]Data - DO NOT PRINT'!$B$3:$G$297,5,FALSE)</f>
        <v>4.0599999999999996</v>
      </c>
      <c r="G236" s="254" t="str">
        <f>IF(VLOOKUP($B236,'[4]Data - DO NOT PRINT'!$B$3:$G$297,6,FALSE)=0,"",VLOOKUP($B236,'[4]Data - DO NOT PRINT'!$B$3:$G$297,6,FALSE))</f>
        <v/>
      </c>
      <c r="H236" s="246"/>
      <c r="I236" s="247"/>
      <c r="J236" s="246"/>
      <c r="K236" s="246"/>
      <c r="L236" s="246"/>
      <c r="M236" s="246"/>
      <c r="N236" s="246"/>
    </row>
    <row r="237" spans="1:14" s="248" customFormat="1" ht="15" customHeight="1">
      <c r="A237" s="250">
        <f>3.91302</f>
        <v>3.9130199999999999</v>
      </c>
      <c r="B237" s="251" t="s">
        <v>2734</v>
      </c>
      <c r="C237" s="252" t="str">
        <f>VLOOKUP($B237,'[4]Data - DO NOT PRINT'!$B$3:$G$297,2,FALSE)</f>
        <v>Reduction Gear LO Settling Tank</v>
      </c>
      <c r="D237" s="253" t="str">
        <f>VLOOKUP($B237,'[4]Data - DO NOT PRINT'!$B$3:$G$297,3,FALSE)</f>
        <v>2nd Platform</v>
      </c>
      <c r="E237" s="253">
        <f>VLOOKUP($B237,'[4]Data - DO NOT PRINT'!$B$3:$G$297,4,FALSE)</f>
        <v>0</v>
      </c>
      <c r="F237" s="253">
        <f>VLOOKUP($B237,'[4]Data - DO NOT PRINT'!$B$3:$G$297,5,FALSE)</f>
        <v>4.47</v>
      </c>
      <c r="G237" s="254" t="str">
        <f>IF(VLOOKUP($B237,'[4]Data - DO NOT PRINT'!$B$3:$G$297,6,FALSE)=0,"",VLOOKUP($B237,'[4]Data - DO NOT PRINT'!$B$3:$G$297,6,FALSE))</f>
        <v/>
      </c>
      <c r="H237" s="246"/>
      <c r="I237" s="247"/>
      <c r="J237" s="246"/>
      <c r="K237" s="246"/>
      <c r="L237" s="246"/>
      <c r="M237" s="246"/>
      <c r="N237" s="246"/>
    </row>
    <row r="238" spans="1:14" s="248" customFormat="1" ht="15" customHeight="1">
      <c r="A238" s="250">
        <f>3.91302</f>
        <v>3.9130199999999999</v>
      </c>
      <c r="B238" s="251" t="s">
        <v>2735</v>
      </c>
      <c r="C238" s="252" t="str">
        <f>VLOOKUP($B238,'[4]Data - DO NOT PRINT'!$B$3:$G$297,2,FALSE)</f>
        <v>Reduction Gear LO Settling Tank</v>
      </c>
      <c r="D238" s="253" t="str">
        <f>VLOOKUP($B238,'[4]Data - DO NOT PRINT'!$B$3:$G$297,3,FALSE)</f>
        <v>2nd Platform</v>
      </c>
      <c r="E238" s="253">
        <f>VLOOKUP($B238,'[4]Data - DO NOT PRINT'!$B$3:$G$297,4,FALSE)</f>
        <v>0</v>
      </c>
      <c r="F238" s="253">
        <f>VLOOKUP($B238,'[4]Data - DO NOT PRINT'!$B$3:$G$297,5,FALSE)</f>
        <v>4.4800000000000004</v>
      </c>
      <c r="G238" s="254"/>
      <c r="H238" s="246"/>
      <c r="I238" s="247"/>
      <c r="J238" s="246"/>
      <c r="K238" s="246"/>
      <c r="L238" s="246"/>
      <c r="M238" s="246"/>
      <c r="N238" s="246"/>
    </row>
    <row r="239" spans="1:14" s="248" customFormat="1" ht="15" customHeight="1">
      <c r="A239" s="250">
        <f>3.91302</f>
        <v>3.9130199999999999</v>
      </c>
      <c r="B239" s="251" t="s">
        <v>2736</v>
      </c>
      <c r="C239" s="252" t="str">
        <f>VLOOKUP($B239,'[4]Data - DO NOT PRINT'!$B$3:$G$297,2,FALSE)</f>
        <v>Reduction Gear LO Storage Tank</v>
      </c>
      <c r="D239" s="253" t="str">
        <f>VLOOKUP($B239,'[4]Data - DO NOT PRINT'!$B$3:$G$297,3,FALSE)</f>
        <v>Tank Top</v>
      </c>
      <c r="E239" s="253">
        <f>VLOOKUP($B239,'[4]Data - DO NOT PRINT'!$B$3:$G$297,4,FALSE)</f>
        <v>0</v>
      </c>
      <c r="F239" s="253">
        <f>VLOOKUP($B239,'[4]Data - DO NOT PRINT'!$B$3:$G$297,5,FALSE)</f>
        <v>4.04</v>
      </c>
      <c r="G239" s="254" t="str">
        <f>IF(VLOOKUP($B239,'[4]Data - DO NOT PRINT'!$B$3:$G$297,6,FALSE)=0,"",VLOOKUP($B239,'[4]Data - DO NOT PRINT'!$B$3:$G$297,6,FALSE))</f>
        <v/>
      </c>
      <c r="H239" s="246"/>
      <c r="I239" s="247"/>
      <c r="J239" s="246"/>
      <c r="K239" s="246"/>
      <c r="L239" s="246"/>
      <c r="M239" s="246"/>
      <c r="N239" s="246"/>
    </row>
    <row r="240" spans="1:14" s="248" customFormat="1" ht="15" customHeight="1">
      <c r="A240" s="250">
        <f>3.91302</f>
        <v>3.9130199999999999</v>
      </c>
      <c r="B240" s="251" t="s">
        <v>2737</v>
      </c>
      <c r="C240" s="252" t="str">
        <f>VLOOKUP($B240,'[4]Data - DO NOT PRINT'!$B$3:$G$297,2,FALSE)</f>
        <v>Reduction Gear LO Storage Tank</v>
      </c>
      <c r="D240" s="253" t="str">
        <f>VLOOKUP($B240,'[4]Data - DO NOT PRINT'!$B$3:$G$297,3,FALSE)</f>
        <v>Tank Top</v>
      </c>
      <c r="E240" s="253">
        <f>VLOOKUP($B240,'[4]Data - DO NOT PRINT'!$B$3:$G$297,4,FALSE)</f>
        <v>0</v>
      </c>
      <c r="F240" s="253">
        <f>VLOOKUP($B240,'[4]Data - DO NOT PRINT'!$B$3:$G$297,5,FALSE)</f>
        <v>4.12</v>
      </c>
      <c r="G240" s="254"/>
      <c r="H240" s="246"/>
      <c r="I240" s="247"/>
      <c r="J240" s="246"/>
      <c r="K240" s="246"/>
      <c r="L240" s="246"/>
      <c r="M240" s="246"/>
      <c r="N240" s="246"/>
    </row>
    <row r="241" spans="1:14" s="248" customFormat="1" ht="15" customHeight="1">
      <c r="A241" s="250">
        <f>3.91302</f>
        <v>3.9130199999999999</v>
      </c>
      <c r="B241" s="251" t="s">
        <v>2738</v>
      </c>
      <c r="C241" s="252" t="str">
        <f>VLOOKUP($B241,'[4]Data - DO NOT PRINT'!$B$3:$G$297,2,FALSE)</f>
        <v>Reduction Gear LO Storage Tank</v>
      </c>
      <c r="D241" s="253" t="str">
        <f>VLOOKUP($B241,'[4]Data - DO NOT PRINT'!$B$3:$G$297,3,FALSE)</f>
        <v>Tank Top</v>
      </c>
      <c r="E241" s="253">
        <f>VLOOKUP($B241,'[4]Data - DO NOT PRINT'!$B$3:$G$297,4,FALSE)</f>
        <v>0</v>
      </c>
      <c r="F241" s="253">
        <f>VLOOKUP($B241,'[4]Data - DO NOT PRINT'!$B$3:$G$297,5,FALSE)</f>
        <v>2.67</v>
      </c>
      <c r="G241" s="254"/>
      <c r="H241" s="246"/>
      <c r="I241" s="247"/>
      <c r="J241" s="246"/>
      <c r="K241" s="246"/>
      <c r="L241" s="246"/>
      <c r="M241" s="246"/>
      <c r="N241" s="246"/>
    </row>
    <row r="242" spans="1:14" s="248" customFormat="1" ht="15" customHeight="1">
      <c r="A242" s="280">
        <v>3.91303</v>
      </c>
      <c r="B242" s="251" t="s">
        <v>2739</v>
      </c>
      <c r="C242" s="252" t="str">
        <f>VLOOKUP($B242,'[4]Data - DO NOT PRINT'!$B$3:$G$297,2,FALSE)</f>
        <v>GT Drain Tank</v>
      </c>
      <c r="D242" s="253" t="str">
        <f>VLOOKUP($B242,'[4]Data - DO NOT PRINT'!$B$3:$G$297,3,FALSE)</f>
        <v>Hold</v>
      </c>
      <c r="E242" s="253">
        <f>VLOOKUP($B242,'[4]Data - DO NOT PRINT'!$B$3:$G$297,4,FALSE)</f>
        <v>0</v>
      </c>
      <c r="F242" s="253">
        <f>VLOOKUP($B242,'[4]Data - DO NOT PRINT'!$B$3:$G$297,5,FALSE)</f>
        <v>1.95</v>
      </c>
      <c r="G242" s="254" t="str">
        <f>IF(VLOOKUP($B242,'[4]Data - DO NOT PRINT'!$B$3:$G$297,6,FALSE)=0,"",VLOOKUP($B242,'[4]Data - DO NOT PRINT'!$B$3:$G$297,6,FALSE))</f>
        <v/>
      </c>
      <c r="H242" s="246"/>
      <c r="I242" s="247"/>
      <c r="J242" s="246"/>
      <c r="K242" s="246"/>
      <c r="L242" s="246"/>
      <c r="M242" s="246"/>
      <c r="N242" s="246"/>
    </row>
    <row r="243" spans="1:14" s="248" customFormat="1" ht="15" customHeight="1">
      <c r="A243" s="280">
        <v>3.91303</v>
      </c>
      <c r="B243" s="251" t="s">
        <v>2740</v>
      </c>
      <c r="C243" s="252" t="str">
        <f>VLOOKUP($B243,'[4]Data - DO NOT PRINT'!$B$3:$G$297,2,FALSE)</f>
        <v>Gas Turbine Service Fuel Oil Tank</v>
      </c>
      <c r="D243" s="253" t="str">
        <f>VLOOKUP($B243,'[4]Data - DO NOT PRINT'!$B$3:$G$297,3,FALSE)</f>
        <v>Hold</v>
      </c>
      <c r="E243" s="253">
        <f>VLOOKUP($B243,'[4]Data - DO NOT PRINT'!$B$3:$G$297,4,FALSE)</f>
        <v>0</v>
      </c>
      <c r="F243" s="253">
        <f>VLOOKUP($B243,'[4]Data - DO NOT PRINT'!$B$3:$G$297,5,FALSE)</f>
        <v>19.989999999999998</v>
      </c>
      <c r="G243" s="254" t="str">
        <f>IF(VLOOKUP($B243,'[4]Data - DO NOT PRINT'!$B$3:$G$297,6,FALSE)=0,"",VLOOKUP($B243,'[4]Data - DO NOT PRINT'!$B$3:$G$297,6,FALSE))</f>
        <v/>
      </c>
      <c r="H243" s="246"/>
      <c r="I243" s="247"/>
      <c r="J243" s="246"/>
      <c r="K243" s="246"/>
      <c r="L243" s="246"/>
      <c r="M243" s="246"/>
      <c r="N243" s="246"/>
    </row>
    <row r="244" spans="1:14" s="248" customFormat="1" ht="15" customHeight="1">
      <c r="A244" s="280">
        <v>3.91303</v>
      </c>
      <c r="B244" s="251" t="s">
        <v>2741</v>
      </c>
      <c r="C244" s="252" t="str">
        <f>VLOOKUP($B244,'[4]Data - DO NOT PRINT'!$B$3:$G$297,2,FALSE)</f>
        <v>Gas Turbine Service Fuel Oil Tank</v>
      </c>
      <c r="D244" s="253" t="str">
        <f>VLOOKUP($B244,'[4]Data - DO NOT PRINT'!$B$3:$G$297,3,FALSE)</f>
        <v>Hold</v>
      </c>
      <c r="E244" s="253">
        <f>VLOOKUP($B244,'[4]Data - DO NOT PRINT'!$B$3:$G$297,4,FALSE)</f>
        <v>0</v>
      </c>
      <c r="F244" s="253">
        <f>VLOOKUP($B244,'[4]Data - DO NOT PRINT'!$B$3:$G$297,5,FALSE)</f>
        <v>19.739999999999998</v>
      </c>
      <c r="G244" s="254" t="str">
        <f>IF(VLOOKUP($B244,'[4]Data - DO NOT PRINT'!$B$3:$G$297,6,FALSE)=0,"",VLOOKUP($B244,'[4]Data - DO NOT PRINT'!$B$3:$G$297,6,FALSE))</f>
        <v/>
      </c>
      <c r="H244" s="246"/>
      <c r="I244" s="247"/>
      <c r="J244" s="246"/>
      <c r="K244" s="246"/>
      <c r="L244" s="246"/>
      <c r="M244" s="246"/>
      <c r="N244" s="246"/>
    </row>
    <row r="245" spans="1:14" s="248" customFormat="1" ht="15" customHeight="1">
      <c r="A245" s="250">
        <v>3.91303</v>
      </c>
      <c r="B245" s="251" t="s">
        <v>2742</v>
      </c>
      <c r="C245" s="252" t="str">
        <f>VLOOKUP($B245,'[4]Data - DO NOT PRINT'!$B$3:$G$297,2,FALSE)</f>
        <v>Lube Oil Sump Tank</v>
      </c>
      <c r="D245" s="253" t="str">
        <f>VLOOKUP($B245,'[4]Data - DO NOT PRINT'!$B$3:$G$297,3,FALSE)</f>
        <v>Hold</v>
      </c>
      <c r="E245" s="253">
        <f>VLOOKUP($B245,'[4]Data - DO NOT PRINT'!$B$3:$G$297,4,FALSE)</f>
        <v>0</v>
      </c>
      <c r="F245" s="253">
        <f>VLOOKUP($B245,'[4]Data - DO NOT PRINT'!$B$3:$G$297,5,FALSE)</f>
        <v>14.08</v>
      </c>
      <c r="G245" s="254" t="str">
        <f>IF(VLOOKUP($B245,'[4]Data - DO NOT PRINT'!$B$3:$G$297,6,FALSE)=0,"",VLOOKUP($B245,'[4]Data - DO NOT PRINT'!$B$3:$G$297,6,FALSE))</f>
        <v>LCS 5 - 13 Only</v>
      </c>
      <c r="H245" s="246"/>
      <c r="I245" s="247"/>
      <c r="J245" s="246"/>
      <c r="K245" s="246"/>
      <c r="L245" s="246"/>
      <c r="M245" s="246"/>
      <c r="N245" s="246"/>
    </row>
    <row r="246" spans="1:14" s="248" customFormat="1" ht="15" customHeight="1">
      <c r="A246" s="250">
        <v>3.91303</v>
      </c>
      <c r="B246" s="251" t="s">
        <v>2743</v>
      </c>
      <c r="C246" s="252" t="str">
        <f>VLOOKUP($B246,'[4]Data - DO NOT PRINT'!$B$3:$G$297,2,FALSE)</f>
        <v>Lube Oil Sump Tank</v>
      </c>
      <c r="D246" s="253" t="str">
        <f>VLOOKUP($B246,'[4]Data - DO NOT PRINT'!$B$3:$G$297,3,FALSE)</f>
        <v>Hold</v>
      </c>
      <c r="E246" s="253">
        <f>VLOOKUP($B246,'[4]Data - DO NOT PRINT'!$B$3:$G$297,4,FALSE)</f>
        <v>0</v>
      </c>
      <c r="F246" s="253">
        <f>VLOOKUP($B246,'[4]Data - DO NOT PRINT'!$B$3:$G$297,5,FALSE)</f>
        <v>14.08</v>
      </c>
      <c r="G246" s="254" t="str">
        <f>IF(VLOOKUP($B246,'[4]Data - DO NOT PRINT'!$B$3:$G$297,6,FALSE)=0,"",VLOOKUP($B246,'[4]Data - DO NOT PRINT'!$B$3:$G$297,6,FALSE))</f>
        <v>LCS 5 - 13 Only</v>
      </c>
      <c r="H246" s="246"/>
      <c r="I246" s="247"/>
      <c r="J246" s="246"/>
      <c r="K246" s="246"/>
      <c r="L246" s="246"/>
      <c r="M246" s="246"/>
      <c r="N246" s="246"/>
    </row>
    <row r="247" spans="1:14" s="248" customFormat="1" ht="15" customHeight="1">
      <c r="A247" s="250">
        <v>3.91303</v>
      </c>
      <c r="B247" s="251" t="s">
        <v>2744</v>
      </c>
      <c r="C247" s="252" t="str">
        <f>VLOOKUP($B247,'[4]Data - DO NOT PRINT'!$B$300:$G$305,2,FALSE)</f>
        <v>Lube Oil Sump Tank</v>
      </c>
      <c r="D247" s="253" t="str">
        <f>VLOOKUP($B247,'[4]Data - DO NOT PRINT'!$B$300:$G$305,3,FALSE)</f>
        <v>Hold</v>
      </c>
      <c r="E247" s="253">
        <f>VLOOKUP($B247,'[4]Data - DO NOT PRINT'!$B$300:$G$305,4,FALSE)</f>
        <v>0</v>
      </c>
      <c r="F247" s="253">
        <f>VLOOKUP($B247,'[4]Data - DO NOT PRINT'!$B$300:$G$305,5,FALSE)</f>
        <v>9.66</v>
      </c>
      <c r="G247" s="254" t="str">
        <f>IF(VLOOKUP($B247,'[4]Data - DO NOT PRINT'!$B$300:$G$305,6,FALSE)=0,"",VLOOKUP($B247,'[4]Data - DO NOT PRINT'!$B$300:$G$305,6,FALSE))</f>
        <v>LCS 15AF</v>
      </c>
      <c r="H247" s="246"/>
      <c r="I247" s="247" t="s">
        <v>2715</v>
      </c>
      <c r="J247" s="246"/>
      <c r="K247" s="246"/>
      <c r="L247" s="246"/>
      <c r="M247" s="246"/>
      <c r="N247" s="246"/>
    </row>
    <row r="248" spans="1:14" s="248" customFormat="1" ht="15" customHeight="1">
      <c r="A248" s="250">
        <v>3.91303</v>
      </c>
      <c r="B248" s="251" t="s">
        <v>2745</v>
      </c>
      <c r="C248" s="252" t="str">
        <f>VLOOKUP($B248,'[4]Data - DO NOT PRINT'!$B$300:$G$305,2,FALSE)</f>
        <v>Lube Oil Sump Tank</v>
      </c>
      <c r="D248" s="253" t="str">
        <f>VLOOKUP($B248,'[4]Data - DO NOT PRINT'!$B$300:$G$305,3,FALSE)</f>
        <v>Hold</v>
      </c>
      <c r="E248" s="253">
        <f>VLOOKUP($B248,'[4]Data - DO NOT PRINT'!$B$300:$G$305,4,FALSE)</f>
        <v>0</v>
      </c>
      <c r="F248" s="253">
        <f>VLOOKUP($B248,'[4]Data - DO NOT PRINT'!$B$300:$G$305,5,FALSE)</f>
        <v>9.66</v>
      </c>
      <c r="G248" s="254" t="str">
        <f>IF(VLOOKUP($B248,'[4]Data - DO NOT PRINT'!$B$300:$G$305,6,FALSE)=0,"",VLOOKUP($B248,'[4]Data - DO NOT PRINT'!$B$300:$G$305,6,FALSE))</f>
        <v>LCS 15AF</v>
      </c>
      <c r="H248" s="246"/>
      <c r="I248" s="247" t="s">
        <v>2715</v>
      </c>
      <c r="J248" s="246"/>
      <c r="K248" s="246"/>
      <c r="L248" s="246"/>
      <c r="M248" s="246"/>
      <c r="N248" s="246"/>
    </row>
    <row r="249" spans="1:14" s="248" customFormat="1" ht="15" customHeight="1">
      <c r="A249" s="250">
        <v>3.91303</v>
      </c>
      <c r="B249" s="251" t="s">
        <v>2746</v>
      </c>
      <c r="C249" s="252" t="str">
        <f>VLOOKUP($B249,'[4]Data - DO NOT PRINT'!$B$3:$G$297,2,FALSE)</f>
        <v>Lube Oil Sump Tank</v>
      </c>
      <c r="D249" s="253" t="str">
        <f>VLOOKUP($B249,'[4]Data - DO NOT PRINT'!$B$3:$G$297,3,FALSE)</f>
        <v>Hold</v>
      </c>
      <c r="E249" s="253">
        <f>VLOOKUP($B249,'[4]Data - DO NOT PRINT'!$B$3:$G$297,4,FALSE)</f>
        <v>0</v>
      </c>
      <c r="F249" s="253">
        <f>VLOOKUP($B249,'[4]Data - DO NOT PRINT'!$B$3:$G$297,5,FALSE)</f>
        <v>5.47</v>
      </c>
      <c r="G249" s="254" t="str">
        <f>IF(VLOOKUP($B249,'[4]Data - DO NOT PRINT'!$B$3:$G$297,6,FALSE)=0,"",VLOOKUP($B249,'[4]Data - DO NOT PRINT'!$B$3:$G$297,6,FALSE))</f>
        <v/>
      </c>
      <c r="H249" s="246"/>
      <c r="I249" s="247"/>
      <c r="J249" s="246"/>
      <c r="K249" s="246"/>
      <c r="L249" s="246"/>
      <c r="M249" s="246"/>
      <c r="N249" s="246"/>
    </row>
    <row r="250" spans="1:14" s="248" customFormat="1" ht="15" customHeight="1">
      <c r="A250" s="250">
        <v>3.91303</v>
      </c>
      <c r="B250" s="251" t="s">
        <v>2747</v>
      </c>
      <c r="C250" s="252" t="str">
        <f>VLOOKUP($B250,'[4]Data - DO NOT PRINT'!$B$3:$G$297,2,FALSE)</f>
        <v>Lube Oil Sump Tank</v>
      </c>
      <c r="D250" s="253" t="str">
        <f>VLOOKUP($B250,'[4]Data - DO NOT PRINT'!$B$3:$G$297,3,FALSE)</f>
        <v>Hold</v>
      </c>
      <c r="E250" s="253">
        <f>VLOOKUP($B250,'[4]Data - DO NOT PRINT'!$B$3:$G$297,4,FALSE)</f>
        <v>0</v>
      </c>
      <c r="F250" s="253">
        <f>VLOOKUP($B250,'[4]Data - DO NOT PRINT'!$B$3:$G$297,5,FALSE)</f>
        <v>5.47</v>
      </c>
      <c r="G250" s="254" t="str">
        <f>IF(VLOOKUP($B250,'[4]Data - DO NOT PRINT'!$B$3:$G$297,6,FALSE)=0,"",VLOOKUP($B250,'[4]Data - DO NOT PRINT'!$B$3:$G$297,6,FALSE))</f>
        <v/>
      </c>
      <c r="H250" s="246"/>
      <c r="I250" s="247"/>
      <c r="J250" s="246"/>
      <c r="K250" s="246"/>
      <c r="L250" s="246"/>
      <c r="M250" s="246"/>
      <c r="N250" s="246"/>
    </row>
    <row r="251" spans="1:14" s="248" customFormat="1" ht="15" customHeight="1">
      <c r="A251" s="250">
        <v>3.91303</v>
      </c>
      <c r="B251" s="251" t="s">
        <v>2748</v>
      </c>
      <c r="C251" s="252" t="str">
        <f>VLOOKUP($B251,'[4]Data - DO NOT PRINT'!$B$3:$G$297,2,FALSE)</f>
        <v>Lube Oil Tank</v>
      </c>
      <c r="D251" s="253" t="str">
        <f>VLOOKUP($B251,'[4]Data - DO NOT PRINT'!$B$3:$G$297,3,FALSE)</f>
        <v>Hold</v>
      </c>
      <c r="E251" s="253">
        <f>VLOOKUP($B251,'[4]Data - DO NOT PRINT'!$B$3:$G$297,4,FALSE)</f>
        <v>0</v>
      </c>
      <c r="F251" s="253">
        <f>VLOOKUP($B251,'[4]Data - DO NOT PRINT'!$B$3:$G$297,5,FALSE)</f>
        <v>1.665</v>
      </c>
      <c r="G251" s="254" t="str">
        <f>IF(VLOOKUP($B251,'[4]Data - DO NOT PRINT'!$B$3:$G$297,6,FALSE)=0,"",VLOOKUP($B251,'[4]Data - DO NOT PRINT'!$B$3:$G$297,6,FALSE))</f>
        <v/>
      </c>
      <c r="H251" s="246"/>
      <c r="I251" s="247"/>
      <c r="J251" s="246"/>
      <c r="K251" s="246"/>
      <c r="L251" s="246"/>
      <c r="M251" s="246"/>
      <c r="N251" s="246"/>
    </row>
    <row r="252" spans="1:14" s="248" customFormat="1" ht="15" customHeight="1" thickBot="1">
      <c r="A252" s="250">
        <v>3.91303</v>
      </c>
      <c r="B252" s="251" t="s">
        <v>2749</v>
      </c>
      <c r="C252" s="252" t="str">
        <f>VLOOKUP($B252,'[4]Data - DO NOT PRINT'!$B$3:$G$297,2,FALSE)</f>
        <v>Lube Oil Tank</v>
      </c>
      <c r="D252" s="253" t="str">
        <f>VLOOKUP($B252,'[4]Data - DO NOT PRINT'!$B$3:$G$297,3,FALSE)</f>
        <v>Hold</v>
      </c>
      <c r="E252" s="253">
        <f>VLOOKUP($B252,'[4]Data - DO NOT PRINT'!$B$3:$G$297,4,FALSE)</f>
        <v>0</v>
      </c>
      <c r="F252" s="253">
        <f>VLOOKUP($B252,'[4]Data - DO NOT PRINT'!$B$3:$G$297,5,FALSE)</f>
        <v>1.665</v>
      </c>
      <c r="G252" s="254" t="str">
        <f>IF(VLOOKUP($B252,'[4]Data - DO NOT PRINT'!$B$3:$G$297,6,FALSE)=0,"",VLOOKUP($B252,'[4]Data - DO NOT PRINT'!$B$3:$G$297,6,FALSE))</f>
        <v/>
      </c>
      <c r="H252" s="246"/>
      <c r="I252" s="247"/>
      <c r="J252" s="246"/>
      <c r="K252" s="246"/>
      <c r="L252" s="246"/>
      <c r="M252" s="246"/>
      <c r="N252" s="246"/>
    </row>
    <row r="253" spans="1:14" s="248" customFormat="1" ht="15" customHeight="1" thickBot="1">
      <c r="A253" s="262"/>
      <c r="B253" s="431" t="s">
        <v>2750</v>
      </c>
      <c r="C253" s="431"/>
      <c r="D253" s="432"/>
      <c r="E253" s="263">
        <f>SUBTOTAL(9,E212:E252)</f>
        <v>0</v>
      </c>
      <c r="F253" s="263">
        <f>SUBTOTAL(9,F212:F252)</f>
        <v>677.16000000000008</v>
      </c>
      <c r="G253" s="264"/>
      <c r="H253" s="246"/>
      <c r="I253" s="265"/>
      <c r="J253" s="266"/>
      <c r="K253" s="267"/>
      <c r="L253" s="268"/>
      <c r="M253" s="246"/>
      <c r="N253" s="246"/>
    </row>
    <row r="254" spans="1:14" s="248" customFormat="1" ht="15" customHeight="1">
      <c r="A254" s="269">
        <v>3.9200200000000001</v>
      </c>
      <c r="B254" s="270" t="s">
        <v>2751</v>
      </c>
      <c r="C254" s="271" t="str">
        <f>VLOOKUP($B254,'[4]Data - DO NOT PRINT'!$B$3:$G$297,2,FALSE)</f>
        <v>Ballast Tank</v>
      </c>
      <c r="D254" s="272" t="str">
        <f>VLOOKUP($B254,'[4]Data - DO NOT PRINT'!$B$3:$G$297,3,FALSE)</f>
        <v>Tank Top</v>
      </c>
      <c r="E254" s="272">
        <f>VLOOKUP($B254,'[4]Data - DO NOT PRINT'!$B$3:$G$297,4,FALSE)</f>
        <v>0</v>
      </c>
      <c r="F254" s="272">
        <f>VLOOKUP($B254,'[4]Data - DO NOT PRINT'!$B$3:$G$297,5,FALSE)</f>
        <v>109.68432899999999</v>
      </c>
      <c r="G254" s="273" t="str">
        <f>IF(VLOOKUP($B254,'[4]Data - DO NOT PRINT'!$B$3:$G$297,6,FALSE)=0,"",VLOOKUP($B254,'[4]Data - DO NOT PRINT'!$B$3:$G$297,6,FALSE))</f>
        <v/>
      </c>
      <c r="H254" s="246"/>
      <c r="I254" s="247"/>
      <c r="J254" s="246"/>
      <c r="K254" s="246"/>
      <c r="L254" s="246"/>
      <c r="M254" s="246"/>
      <c r="N254" s="246"/>
    </row>
    <row r="255" spans="1:14" s="248" customFormat="1" ht="15" customHeight="1" thickBot="1">
      <c r="A255" s="257">
        <v>3.9200200000000001</v>
      </c>
      <c r="B255" s="258" t="s">
        <v>2752</v>
      </c>
      <c r="C255" s="259" t="str">
        <f>VLOOKUP($B255,'[4]Data - DO NOT PRINT'!$B$3:$G$297,2,FALSE)</f>
        <v>Ballast Tank</v>
      </c>
      <c r="D255" s="260" t="str">
        <f>VLOOKUP($B255,'[4]Data - DO NOT PRINT'!$B$3:$G$297,3,FALSE)</f>
        <v>Hold</v>
      </c>
      <c r="E255" s="260">
        <f>VLOOKUP($B255,'[4]Data - DO NOT PRINT'!$B$3:$G$297,4,FALSE)</f>
        <v>0</v>
      </c>
      <c r="F255" s="260">
        <f>VLOOKUP($B255,'[4]Data - DO NOT PRINT'!$B$3:$G$297,5,FALSE)</f>
        <v>58.629544000000003</v>
      </c>
      <c r="G255" s="261" t="str">
        <f>IF(VLOOKUP($B255,'[4]Data - DO NOT PRINT'!$B$3:$G$297,6,FALSE)=0,"",VLOOKUP($B255,'[4]Data - DO NOT PRINT'!$B$3:$G$297,6,FALSE))</f>
        <v/>
      </c>
      <c r="H255" s="246"/>
      <c r="I255" s="247"/>
      <c r="J255" s="246"/>
      <c r="K255" s="246"/>
      <c r="L255" s="246"/>
      <c r="M255" s="246"/>
      <c r="N255" s="246"/>
    </row>
    <row r="256" spans="1:14" s="248" customFormat="1" ht="15" customHeight="1" thickBot="1">
      <c r="A256" s="262"/>
      <c r="B256" s="431" t="s">
        <v>2753</v>
      </c>
      <c r="C256" s="431"/>
      <c r="D256" s="432"/>
      <c r="E256" s="263">
        <f>SUBTOTAL(9,E254:E255)</f>
        <v>0</v>
      </c>
      <c r="F256" s="263">
        <f>SUBTOTAL(9,F254:F255)</f>
        <v>168.313873</v>
      </c>
      <c r="G256" s="264"/>
      <c r="H256" s="246"/>
      <c r="I256" s="265"/>
      <c r="J256" s="266"/>
      <c r="K256" s="267"/>
      <c r="L256" s="268"/>
      <c r="M256" s="246"/>
      <c r="N256" s="246"/>
    </row>
    <row r="257" spans="1:14" s="248" customFormat="1" ht="15" customHeight="1">
      <c r="A257" s="269">
        <v>3.9300099999999998</v>
      </c>
      <c r="B257" s="270" t="s">
        <v>2754</v>
      </c>
      <c r="C257" s="271" t="str">
        <f>VLOOKUP($B257,'[4]Data - DO NOT PRINT'!$B$3:$G$297,2,FALSE)</f>
        <v>Potable Water Tank</v>
      </c>
      <c r="D257" s="272" t="str">
        <f>VLOOKUP($B257,'[4]Data - DO NOT PRINT'!$B$3:$G$297,3,FALSE)</f>
        <v>Tank Top</v>
      </c>
      <c r="E257" s="272">
        <f>VLOOKUP($B257,'[4]Data - DO NOT PRINT'!$B$3:$G$297,4,FALSE)</f>
        <v>0</v>
      </c>
      <c r="F257" s="272">
        <f>VLOOKUP($B257,'[4]Data - DO NOT PRINT'!$B$3:$G$297,5,FALSE)</f>
        <v>10.31</v>
      </c>
      <c r="G257" s="273" t="str">
        <f>IF(VLOOKUP($B257,'[4]Data - DO NOT PRINT'!$B$3:$G$297,6,FALSE)=0,"",VLOOKUP($B257,'[4]Data - DO NOT PRINT'!$B$3:$G$297,6,FALSE))</f>
        <v/>
      </c>
      <c r="H257" s="246"/>
      <c r="I257" s="247"/>
      <c r="J257" s="246"/>
      <c r="K257" s="246"/>
      <c r="L257" s="246"/>
      <c r="M257" s="246"/>
      <c r="N257" s="246"/>
    </row>
    <row r="258" spans="1:14" s="248" customFormat="1" ht="15" customHeight="1" thickBot="1">
      <c r="A258" s="257">
        <v>3.9300099999999998</v>
      </c>
      <c r="B258" s="258" t="s">
        <v>2755</v>
      </c>
      <c r="C258" s="259" t="str">
        <f>VLOOKUP($B258,'[4]Data - DO NOT PRINT'!$B$3:$G$297,2,FALSE)</f>
        <v>Potable Water Tank</v>
      </c>
      <c r="D258" s="260" t="str">
        <f>VLOOKUP($B258,'[4]Data - DO NOT PRINT'!$B$3:$G$297,3,FALSE)</f>
        <v>Tank Top</v>
      </c>
      <c r="E258" s="260">
        <f>VLOOKUP($B258,'[4]Data - DO NOT PRINT'!$B$3:$G$297,4,FALSE)</f>
        <v>0</v>
      </c>
      <c r="F258" s="260">
        <f>VLOOKUP($B258,'[4]Data - DO NOT PRINT'!$B$3:$G$297,5,FALSE)</f>
        <v>10.09</v>
      </c>
      <c r="G258" s="261" t="str">
        <f>IF(VLOOKUP($B258,'[4]Data - DO NOT PRINT'!$B$3:$G$297,6,FALSE)=0,"",VLOOKUP($B258,'[4]Data - DO NOT PRINT'!$B$3:$G$297,6,FALSE))</f>
        <v/>
      </c>
      <c r="H258" s="246"/>
      <c r="I258" s="247"/>
      <c r="J258" s="246"/>
      <c r="K258" s="246"/>
      <c r="L258" s="246"/>
      <c r="M258" s="246"/>
      <c r="N258" s="246"/>
    </row>
    <row r="259" spans="1:14" s="248" customFormat="1" ht="15" customHeight="1" thickBot="1">
      <c r="A259" s="262"/>
      <c r="B259" s="431" t="s">
        <v>2756</v>
      </c>
      <c r="C259" s="431"/>
      <c r="D259" s="432"/>
      <c r="E259" s="263">
        <f>SUBTOTAL(9,E257:E258)</f>
        <v>0</v>
      </c>
      <c r="F259" s="263">
        <f>SUBTOTAL(9,F257:F258)</f>
        <v>20.399999999999999</v>
      </c>
      <c r="G259" s="264"/>
      <c r="H259" s="246"/>
      <c r="I259" s="265"/>
      <c r="J259" s="266"/>
      <c r="K259" s="267"/>
      <c r="L259" s="268"/>
      <c r="M259" s="246"/>
      <c r="N259" s="246"/>
    </row>
    <row r="260" spans="1:14" s="248" customFormat="1" ht="15" customHeight="1">
      <c r="A260" s="269">
        <v>3.9410099999999999</v>
      </c>
      <c r="B260" s="270" t="s">
        <v>2757</v>
      </c>
      <c r="C260" s="271" t="str">
        <f>VLOOKUP($B260,'[4]Data - DO NOT PRINT'!$B$3:$G$297,2,FALSE)</f>
        <v>CHT Tank</v>
      </c>
      <c r="D260" s="272" t="str">
        <f>VLOOKUP($B260,'[4]Data - DO NOT PRINT'!$B$3:$G$297,3,FALSE)</f>
        <v>Tank Top</v>
      </c>
      <c r="E260" s="272">
        <f>VLOOKUP($B260,'[4]Data - DO NOT PRINT'!$B$3:$G$297,4,FALSE)</f>
        <v>0</v>
      </c>
      <c r="F260" s="272">
        <f>VLOOKUP($B260,'[4]Data - DO NOT PRINT'!$B$3:$G$297,5,FALSE)</f>
        <v>9.56</v>
      </c>
      <c r="G260" s="273" t="str">
        <f>IF(VLOOKUP($B260,'[4]Data - DO NOT PRINT'!$B$3:$G$297,6,FALSE)=0,"",VLOOKUP($B260,'[4]Data - DO NOT PRINT'!$B$3:$G$297,6,FALSE))</f>
        <v/>
      </c>
      <c r="H260" s="246"/>
      <c r="I260" s="265"/>
      <c r="J260" s="266"/>
      <c r="K260" s="267"/>
      <c r="L260" s="268"/>
      <c r="M260" s="246"/>
      <c r="N260" s="246"/>
    </row>
    <row r="261" spans="1:14" s="248" customFormat="1" ht="15" customHeight="1">
      <c r="A261" s="250">
        <v>3.9420099999999998</v>
      </c>
      <c r="B261" s="251" t="s">
        <v>2758</v>
      </c>
      <c r="C261" s="252" t="str">
        <f>VLOOKUP($B261,'[4]Data - DO NOT PRINT'!$B$3:$G$297,2,FALSE)</f>
        <v>Oily Waste Holding Tank</v>
      </c>
      <c r="D261" s="253" t="str">
        <f>VLOOKUP($B261,'[4]Data - DO NOT PRINT'!$B$3:$G$297,3,FALSE)</f>
        <v>2nd Platform</v>
      </c>
      <c r="E261" s="253">
        <f>VLOOKUP($B261,'[4]Data - DO NOT PRINT'!$B$3:$G$297,4,FALSE)</f>
        <v>0</v>
      </c>
      <c r="F261" s="253">
        <f>VLOOKUP($B261,'[4]Data - DO NOT PRINT'!$B$3:$G$297,5,FALSE)</f>
        <v>5.82</v>
      </c>
      <c r="G261" s="254" t="str">
        <f>IF(VLOOKUP($B261,'[4]Data - DO NOT PRINT'!$B$3:$G$297,6,FALSE)=0,"",VLOOKUP($B261,'[4]Data - DO NOT PRINT'!$B$3:$G$297,6,FALSE))</f>
        <v/>
      </c>
      <c r="H261" s="246"/>
      <c r="I261" s="247"/>
      <c r="J261" s="246"/>
      <c r="K261" s="246"/>
      <c r="L261" s="246"/>
      <c r="M261" s="246"/>
      <c r="N261" s="246"/>
    </row>
    <row r="262" spans="1:14" s="248" customFormat="1" ht="15" customHeight="1">
      <c r="A262" s="250">
        <v>3.9420199999999999</v>
      </c>
      <c r="B262" s="251" t="s">
        <v>2759</v>
      </c>
      <c r="C262" s="252" t="str">
        <f>VLOOKUP($B262,'[4]Data - DO NOT PRINT'!$B$3:$G$297,2,FALSE)</f>
        <v>Waste Oil Tank</v>
      </c>
      <c r="D262" s="253" t="str">
        <f>VLOOKUP($B262,'[4]Data - DO NOT PRINT'!$B$3:$G$297,3,FALSE)</f>
        <v>2nd Platform</v>
      </c>
      <c r="E262" s="253">
        <f>VLOOKUP($B262,'[4]Data - DO NOT PRINT'!$B$3:$G$297,4,FALSE)</f>
        <v>0</v>
      </c>
      <c r="F262" s="253">
        <f>VLOOKUP($B262,'[4]Data - DO NOT PRINT'!$B$3:$G$297,5,FALSE)</f>
        <v>12.89</v>
      </c>
      <c r="G262" s="254" t="str">
        <f>IF(VLOOKUP($B262,'[4]Data - DO NOT PRINT'!$B$3:$G$297,6,FALSE)=0,"",VLOOKUP($B262,'[4]Data - DO NOT PRINT'!$B$3:$G$297,6,FALSE))</f>
        <v/>
      </c>
      <c r="H262" s="246"/>
      <c r="I262" s="247"/>
      <c r="J262" s="246"/>
      <c r="K262" s="246"/>
      <c r="L262" s="246"/>
      <c r="M262" s="246"/>
      <c r="N262" s="246"/>
    </row>
    <row r="263" spans="1:14" s="248" customFormat="1" ht="15" customHeight="1">
      <c r="A263" s="250">
        <v>3.9420299999999999</v>
      </c>
      <c r="B263" s="251" t="s">
        <v>2760</v>
      </c>
      <c r="C263" s="252" t="str">
        <f>VLOOKUP($B263,'[4]Data - DO NOT PRINT'!$B$3:$G$297,2,FALSE)</f>
        <v>Oily Waste &amp; Waste Water Collection Tank</v>
      </c>
      <c r="D263" s="253" t="str">
        <f>VLOOKUP($B263,'[4]Data - DO NOT PRINT'!$B$3:$G$297,3,FALSE)</f>
        <v>Hold</v>
      </c>
      <c r="E263" s="253">
        <f>VLOOKUP($B263,'[4]Data - DO NOT PRINT'!$B$3:$G$297,4,FALSE)</f>
        <v>0</v>
      </c>
      <c r="F263" s="253">
        <f>VLOOKUP($B263,'[4]Data - DO NOT PRINT'!$B$3:$G$297,5,FALSE)</f>
        <v>1.1299999999999999</v>
      </c>
      <c r="G263" s="254" t="str">
        <f>IF(VLOOKUP($B263,'[4]Data - DO NOT PRINT'!$B$3:$G$297,6,FALSE)=0,"",VLOOKUP($B263,'[4]Data - DO NOT PRINT'!$B$3:$G$297,6,FALSE))</f>
        <v/>
      </c>
      <c r="H263" s="246"/>
      <c r="I263" s="247"/>
      <c r="J263" s="246"/>
      <c r="K263" s="246"/>
      <c r="L263" s="246"/>
      <c r="M263" s="246"/>
      <c r="N263" s="246"/>
    </row>
    <row r="264" spans="1:14" s="248" customFormat="1" ht="15" customHeight="1">
      <c r="A264" s="250">
        <v>3.9420299999999999</v>
      </c>
      <c r="B264" s="251" t="s">
        <v>2761</v>
      </c>
      <c r="C264" s="252" t="str">
        <f>VLOOKUP($B264,'[4]Data - DO NOT PRINT'!$B$3:$G$297,2,FALSE)</f>
        <v>Oily Waste Collection Tank</v>
      </c>
      <c r="D264" s="253" t="str">
        <f>VLOOKUP($B264,'[4]Data - DO NOT PRINT'!$B$3:$G$297,3,FALSE)</f>
        <v>Hold</v>
      </c>
      <c r="E264" s="253">
        <f>VLOOKUP($B264,'[4]Data - DO NOT PRINT'!$B$3:$G$297,4,FALSE)</f>
        <v>0</v>
      </c>
      <c r="F264" s="253">
        <f>VLOOKUP($B264,'[4]Data - DO NOT PRINT'!$B$3:$G$297,5,FALSE)</f>
        <v>1.62</v>
      </c>
      <c r="G264" s="254" t="str">
        <f>IF(VLOOKUP($B264,'[4]Data - DO NOT PRINT'!$B$3:$G$297,6,FALSE)=0,"",VLOOKUP($B264,'[4]Data - DO NOT PRINT'!$B$3:$G$297,6,FALSE))</f>
        <v/>
      </c>
      <c r="H264" s="246"/>
      <c r="I264" s="247"/>
      <c r="J264" s="246"/>
      <c r="K264" s="246"/>
      <c r="L264" s="246"/>
      <c r="M264" s="246"/>
      <c r="N264" s="246"/>
    </row>
    <row r="265" spans="1:14" s="248" customFormat="1" ht="15" customHeight="1">
      <c r="A265" s="250">
        <v>3.9420299999999999</v>
      </c>
      <c r="B265" s="251" t="s">
        <v>2762</v>
      </c>
      <c r="C265" s="252" t="str">
        <f>VLOOKUP($B265,'[4]Data - DO NOT PRINT'!$B$3:$G$297,2,FALSE)</f>
        <v>Oily Waste &amp; Waste Water Collection Tank</v>
      </c>
      <c r="D265" s="253" t="str">
        <f>VLOOKUP($B265,'[4]Data - DO NOT PRINT'!$B$3:$G$297,3,FALSE)</f>
        <v>Hold</v>
      </c>
      <c r="E265" s="253">
        <f>VLOOKUP($B265,'[4]Data - DO NOT PRINT'!$B$3:$G$297,4,FALSE)</f>
        <v>0</v>
      </c>
      <c r="F265" s="253">
        <f>VLOOKUP($B265,'[4]Data - DO NOT PRINT'!$B$3:$G$297,5,FALSE)</f>
        <v>2.39</v>
      </c>
      <c r="G265" s="254" t="str">
        <f>IF(VLOOKUP($B265,'[4]Data - DO NOT PRINT'!$B$3:$G$297,6,FALSE)=0,"",VLOOKUP($B265,'[4]Data - DO NOT PRINT'!$B$3:$G$297,6,FALSE))</f>
        <v/>
      </c>
      <c r="H265" s="246"/>
      <c r="I265" s="247"/>
      <c r="J265" s="246"/>
      <c r="K265" s="246"/>
      <c r="L265" s="246"/>
      <c r="M265" s="246"/>
      <c r="N265" s="246"/>
    </row>
    <row r="266" spans="1:14" s="248" customFormat="1" ht="15" customHeight="1">
      <c r="A266" s="250">
        <v>3.9420299999999999</v>
      </c>
      <c r="B266" s="251" t="s">
        <v>2763</v>
      </c>
      <c r="C266" s="252" t="str">
        <f>VLOOKUP($B266,'[4]Data - DO NOT PRINT'!$B$3:$G$297,2,FALSE)</f>
        <v>Oily Waste Water Collection Tank</v>
      </c>
      <c r="D266" s="253" t="str">
        <f>VLOOKUP($B266,'[4]Data - DO NOT PRINT'!$B$3:$G$297,3,FALSE)</f>
        <v>Hold</v>
      </c>
      <c r="E266" s="253">
        <f>VLOOKUP($B266,'[4]Data - DO NOT PRINT'!$B$3:$G$297,4,FALSE)</f>
        <v>0</v>
      </c>
      <c r="F266" s="253">
        <f>VLOOKUP($B266,'[4]Data - DO NOT PRINT'!$B$3:$G$297,5,FALSE)</f>
        <v>1.54</v>
      </c>
      <c r="G266" s="254" t="str">
        <f>IF(VLOOKUP($B266,'[4]Data - DO NOT PRINT'!$B$3:$G$297,6,FALSE)=0,"",VLOOKUP($B266,'[4]Data - DO NOT PRINT'!$B$3:$G$297,6,FALSE))</f>
        <v/>
      </c>
      <c r="H266" s="246"/>
      <c r="I266" s="247"/>
      <c r="J266" s="246"/>
      <c r="K266" s="246"/>
      <c r="L266" s="246"/>
      <c r="M266" s="246"/>
      <c r="N266" s="246"/>
    </row>
    <row r="267" spans="1:14" s="248" customFormat="1" ht="15" customHeight="1">
      <c r="A267" s="250">
        <v>3.9420299999999999</v>
      </c>
      <c r="B267" s="251" t="s">
        <v>2764</v>
      </c>
      <c r="C267" s="252" t="str">
        <f>VLOOKUP($B267,'[4]Data - DO NOT PRINT'!$B$3:$G$297,2,FALSE)</f>
        <v>Oily Waste Water Collection Tank</v>
      </c>
      <c r="D267" s="253" t="str">
        <f>VLOOKUP($B267,'[4]Data - DO NOT PRINT'!$B$3:$G$297,3,FALSE)</f>
        <v>Hold</v>
      </c>
      <c r="E267" s="253">
        <f>VLOOKUP($B267,'[4]Data - DO NOT PRINT'!$B$3:$G$297,4,FALSE)</f>
        <v>0</v>
      </c>
      <c r="F267" s="253">
        <f>VLOOKUP($B267,'[4]Data - DO NOT PRINT'!$B$3:$G$297,5,FALSE)</f>
        <v>0.93</v>
      </c>
      <c r="G267" s="254" t="str">
        <f>IF(VLOOKUP($B267,'[4]Data - DO NOT PRINT'!$B$3:$G$297,6,FALSE)=0,"",VLOOKUP($B267,'[4]Data - DO NOT PRINT'!$B$3:$G$297,6,FALSE))</f>
        <v/>
      </c>
      <c r="H267" s="246"/>
      <c r="I267" s="247"/>
      <c r="J267" s="246"/>
      <c r="K267" s="246"/>
      <c r="L267" s="246"/>
      <c r="M267" s="246"/>
      <c r="N267" s="246"/>
    </row>
    <row r="268" spans="1:14" s="248" customFormat="1" ht="15" customHeight="1">
      <c r="A268" s="250">
        <v>3.9420299999999999</v>
      </c>
      <c r="B268" s="251" t="s">
        <v>2344</v>
      </c>
      <c r="C268" s="252" t="str">
        <f>VLOOKUP($B268,'[4]Data - DO NOT PRINT'!$B$3:$G$297,2,FALSE)</f>
        <v>Oily Waste Tank</v>
      </c>
      <c r="D268" s="253" t="str">
        <f>VLOOKUP($B268,'[4]Data - DO NOT PRINT'!$B$3:$G$297,3,FALSE)</f>
        <v>Hold</v>
      </c>
      <c r="E268" s="253">
        <f>VLOOKUP($B268,'[4]Data - DO NOT PRINT'!$B$3:$G$297,4,FALSE)</f>
        <v>0</v>
      </c>
      <c r="F268" s="253">
        <f>VLOOKUP($B268,'[4]Data - DO NOT PRINT'!$B$3:$G$297,5,FALSE)</f>
        <v>1.1101000000000001</v>
      </c>
      <c r="G268" s="254"/>
      <c r="H268" s="246"/>
      <c r="I268" s="247"/>
      <c r="J268" s="246"/>
      <c r="K268" s="246"/>
      <c r="L268" s="246"/>
      <c r="M268" s="246"/>
      <c r="N268" s="246"/>
    </row>
    <row r="269" spans="1:14" s="248" customFormat="1" ht="15" customHeight="1" thickBot="1">
      <c r="A269" s="257">
        <v>3.9420299999999999</v>
      </c>
      <c r="B269" s="258" t="s">
        <v>2345</v>
      </c>
      <c r="C269" s="259" t="str">
        <f>VLOOKUP($B269,'[4]Data - DO NOT PRINT'!$B$3:$G$297,2,FALSE)</f>
        <v>Oily Waste Tank</v>
      </c>
      <c r="D269" s="260" t="str">
        <f>VLOOKUP($B269,'[4]Data - DO NOT PRINT'!$B$3:$G$297,3,FALSE)</f>
        <v>Hold</v>
      </c>
      <c r="E269" s="260">
        <f>VLOOKUP($B269,'[4]Data - DO NOT PRINT'!$B$3:$G$297,4,FALSE)</f>
        <v>0</v>
      </c>
      <c r="F269" s="260">
        <f>VLOOKUP($B269,'[4]Data - DO NOT PRINT'!$B$3:$G$297,5,FALSE)</f>
        <v>1.1101000000000001</v>
      </c>
      <c r="G269" s="261"/>
      <c r="H269" s="246"/>
      <c r="I269" s="247"/>
      <c r="J269" s="246"/>
      <c r="K269" s="246"/>
      <c r="L269" s="246"/>
      <c r="M269" s="246"/>
      <c r="N269" s="246"/>
    </row>
    <row r="270" spans="1:14" s="248" customFormat="1" ht="15" customHeight="1" thickBot="1">
      <c r="A270" s="262"/>
      <c r="B270" s="431" t="s">
        <v>2765</v>
      </c>
      <c r="C270" s="431"/>
      <c r="D270" s="432"/>
      <c r="E270" s="263">
        <f>SUBTOTAL(9,E261:E267)</f>
        <v>0</v>
      </c>
      <c r="F270" s="263">
        <f>SUBTOTAL(9,F261:F267)</f>
        <v>26.32</v>
      </c>
      <c r="G270" s="264"/>
      <c r="H270" s="246"/>
      <c r="I270" s="265"/>
      <c r="J270" s="266"/>
      <c r="K270" s="267"/>
      <c r="L270" s="268"/>
      <c r="M270" s="246"/>
      <c r="N270" s="246"/>
    </row>
    <row r="271" spans="1:14" s="248" customFormat="1" ht="15" customHeight="1">
      <c r="A271" s="269">
        <v>3.9500099999999998</v>
      </c>
      <c r="B271" s="270" t="s">
        <v>2766</v>
      </c>
      <c r="C271" s="271" t="str">
        <f>VLOOKUP($B271,'[4]Data - DO NOT PRINT'!$B$3:$G$297,2,FALSE)</f>
        <v>Inaccessible Void</v>
      </c>
      <c r="D271" s="272" t="str">
        <f>VLOOKUP($B271,'[4]Data - DO NOT PRINT'!$B$3:$G$297,3,FALSE)</f>
        <v>2nd Platform</v>
      </c>
      <c r="E271" s="272">
        <f>VLOOKUP($B271,'[4]Data - DO NOT PRINT'!$B$3:$G$297,4,FALSE)</f>
        <v>0</v>
      </c>
      <c r="F271" s="272">
        <f>VLOOKUP($B271,'[4]Data - DO NOT PRINT'!$B$3:$G$297,5,FALSE)</f>
        <v>1.1356710000000001</v>
      </c>
      <c r="G271" s="273" t="str">
        <f>IF(VLOOKUP($B271,'[4]Data - DO NOT PRINT'!$B$3:$G$297,6,FALSE)=0,"",VLOOKUP($B271,'[4]Data - DO NOT PRINT'!$B$3:$G$297,6,FALSE))</f>
        <v/>
      </c>
      <c r="H271" s="246"/>
      <c r="I271" s="247"/>
      <c r="J271" s="246"/>
      <c r="K271" s="246"/>
      <c r="L271" s="246"/>
      <c r="M271" s="246"/>
      <c r="N271" s="246"/>
    </row>
    <row r="272" spans="1:14" s="248" customFormat="1" ht="15" customHeight="1">
      <c r="A272" s="250">
        <v>3.9500099999999998</v>
      </c>
      <c r="B272" s="285" t="s">
        <v>2767</v>
      </c>
      <c r="C272" s="252" t="str">
        <f>VLOOKUP($B272,'[4]Data - DO NOT PRINT'!$B$3:$G$297,2,FALSE)</f>
        <v>Accessible Void</v>
      </c>
      <c r="D272" s="253" t="str">
        <f>VLOOKUP($B272,'[4]Data - DO NOT PRINT'!$B$3:$G$297,3,FALSE)</f>
        <v>2nd Platform</v>
      </c>
      <c r="E272" s="253">
        <f>VLOOKUP($B272,'[4]Data - DO NOT PRINT'!$B$3:$G$297,4,FALSE)</f>
        <v>0</v>
      </c>
      <c r="F272" s="253">
        <f>VLOOKUP($B272,'[4]Data - DO NOT PRINT'!$B$3:$G$297,5,FALSE)</f>
        <v>9.66</v>
      </c>
      <c r="G272" s="254" t="str">
        <f>IF(VLOOKUP($B272,'[4]Data - DO NOT PRINT'!$B$3:$G$297,6,FALSE)=0,"",VLOOKUP($B272,'[4]Data - DO NOT PRINT'!$B$3:$G$297,6,FALSE))</f>
        <v/>
      </c>
      <c r="H272" s="246"/>
      <c r="I272" s="247"/>
      <c r="J272" s="246"/>
      <c r="K272" s="246"/>
      <c r="L272" s="246"/>
      <c r="M272" s="246"/>
      <c r="N272" s="246"/>
    </row>
    <row r="273" spans="1:14" s="248" customFormat="1" ht="15" customHeight="1">
      <c r="A273" s="250">
        <v>3.9500099999999998</v>
      </c>
      <c r="B273" s="251" t="s">
        <v>2768</v>
      </c>
      <c r="C273" s="252" t="str">
        <f>VLOOKUP($B273,'[4]Data - DO NOT PRINT'!$B$3:$G$297,2,FALSE)</f>
        <v>Accessible Void</v>
      </c>
      <c r="D273" s="253" t="str">
        <f>VLOOKUP($B273,'[4]Data - DO NOT PRINT'!$B$3:$G$297,3,FALSE)</f>
        <v>Tank Top</v>
      </c>
      <c r="E273" s="253">
        <f>VLOOKUP($B273,'[4]Data - DO NOT PRINT'!$B$3:$G$297,4,FALSE)</f>
        <v>6.14</v>
      </c>
      <c r="F273" s="253">
        <f>VLOOKUP($B273,'[4]Data - DO NOT PRINT'!$B$3:$G$297,5,FALSE)</f>
        <v>24.85</v>
      </c>
      <c r="G273" s="254" t="str">
        <f>IF(VLOOKUP($B273,'[4]Data - DO NOT PRINT'!$B$3:$G$297,6,FALSE)=0,"",VLOOKUP($B273,'[4]Data - DO NOT PRINT'!$B$3:$G$297,6,FALSE))</f>
        <v/>
      </c>
      <c r="H273" s="246"/>
      <c r="I273" s="247"/>
      <c r="J273" s="246"/>
      <c r="K273" s="246"/>
      <c r="L273" s="246"/>
      <c r="M273" s="246"/>
      <c r="N273" s="246"/>
    </row>
    <row r="274" spans="1:14" s="248" customFormat="1" ht="15" customHeight="1">
      <c r="A274" s="250">
        <v>3.9500199999999999</v>
      </c>
      <c r="B274" s="285" t="s">
        <v>2769</v>
      </c>
      <c r="C274" s="252" t="str">
        <f>VLOOKUP($B274,'[4]Data - DO NOT PRINT'!$B$3:$G$297,2,FALSE)</f>
        <v>Inaccessible Void</v>
      </c>
      <c r="D274" s="253" t="str">
        <f>VLOOKUP($B274,'[4]Data - DO NOT PRINT'!$B$3:$G$297,3,FALSE)</f>
        <v>Hold</v>
      </c>
      <c r="E274" s="253">
        <f>VLOOKUP($B274,'[4]Data - DO NOT PRINT'!$B$3:$G$297,4,FALSE)</f>
        <v>0</v>
      </c>
      <c r="F274" s="253">
        <f>VLOOKUP($B274,'[4]Data - DO NOT PRINT'!$B$3:$G$297,5,FALSE)</f>
        <v>0.227551</v>
      </c>
      <c r="G274" s="254"/>
      <c r="H274" s="246"/>
      <c r="I274" s="247"/>
      <c r="J274" s="246"/>
      <c r="K274" s="246"/>
      <c r="L274" s="246"/>
      <c r="M274" s="246"/>
      <c r="N274" s="246"/>
    </row>
    <row r="275" spans="1:14" s="248" customFormat="1" ht="15" customHeight="1">
      <c r="A275" s="250">
        <v>3.9500199999999999</v>
      </c>
      <c r="B275" s="286" t="s">
        <v>2770</v>
      </c>
      <c r="C275" s="252" t="str">
        <f>VLOOKUP($B275,'[4]Data - DO NOT PRINT'!$B$3:$G$297,2,FALSE)</f>
        <v>Inaccessible Void</v>
      </c>
      <c r="D275" s="253" t="str">
        <f>VLOOKUP($B275,'[4]Data - DO NOT PRINT'!$B$3:$G$297,3,FALSE)</f>
        <v>Hold</v>
      </c>
      <c r="E275" s="253">
        <f>VLOOKUP($B275,'[4]Data - DO NOT PRINT'!$B$3:$G$297,4,FALSE)</f>
        <v>0</v>
      </c>
      <c r="F275" s="253">
        <f>VLOOKUP($B275,'[4]Data - DO NOT PRINT'!$B$3:$G$297,5,FALSE)</f>
        <v>0.227551</v>
      </c>
      <c r="G275" s="254"/>
      <c r="H275" s="246"/>
      <c r="I275" s="247"/>
      <c r="J275" s="246"/>
      <c r="K275" s="246"/>
      <c r="L275" s="246"/>
      <c r="M275" s="246"/>
      <c r="N275" s="246"/>
    </row>
    <row r="276" spans="1:14" s="248" customFormat="1" ht="15" customHeight="1">
      <c r="A276" s="250">
        <v>3.9500199999999999</v>
      </c>
      <c r="B276" s="285" t="s">
        <v>2771</v>
      </c>
      <c r="C276" s="252" t="str">
        <f>VLOOKUP($B276,'[4]Data - DO NOT PRINT'!$B$3:$G$297,2,FALSE)</f>
        <v>Inaccessible Void</v>
      </c>
      <c r="D276" s="253" t="str">
        <f>VLOOKUP($B276,'[4]Data - DO NOT PRINT'!$B$3:$G$297,3,FALSE)</f>
        <v>Hold</v>
      </c>
      <c r="E276" s="253">
        <f>VLOOKUP($B276,'[4]Data - DO NOT PRINT'!$B$3:$G$297,4,FALSE)</f>
        <v>0</v>
      </c>
      <c r="F276" s="253">
        <f>VLOOKUP($B276,'[4]Data - DO NOT PRINT'!$B$3:$G$297,5,FALSE)</f>
        <v>0.1555</v>
      </c>
      <c r="G276" s="254"/>
      <c r="H276" s="246"/>
      <c r="I276" s="247"/>
      <c r="J276" s="246"/>
      <c r="K276" s="246"/>
      <c r="L276" s="246"/>
      <c r="M276" s="246"/>
      <c r="N276" s="246"/>
    </row>
    <row r="277" spans="1:14" s="248" customFormat="1" ht="15" customHeight="1">
      <c r="A277" s="250">
        <v>3.9500199999999999</v>
      </c>
      <c r="B277" s="285" t="s">
        <v>2772</v>
      </c>
      <c r="C277" s="252" t="str">
        <f>VLOOKUP($B277,'[4]Data - DO NOT PRINT'!$B$3:$G$297,2,FALSE)</f>
        <v>Inaccessible Void</v>
      </c>
      <c r="D277" s="253" t="str">
        <f>VLOOKUP($B277,'[4]Data - DO NOT PRINT'!$B$3:$G$297,3,FALSE)</f>
        <v>Hold</v>
      </c>
      <c r="E277" s="253">
        <f>VLOOKUP($B277,'[4]Data - DO NOT PRINT'!$B$3:$G$297,4,FALSE)</f>
        <v>0</v>
      </c>
      <c r="F277" s="253">
        <f>VLOOKUP($B277,'[4]Data - DO NOT PRINT'!$B$3:$G$297,5,FALSE)</f>
        <v>0.1555</v>
      </c>
      <c r="G277" s="254"/>
      <c r="H277" s="246"/>
      <c r="I277" s="247"/>
      <c r="J277" s="246"/>
      <c r="K277" s="246"/>
      <c r="L277" s="246"/>
      <c r="M277" s="246"/>
      <c r="N277" s="246"/>
    </row>
    <row r="278" spans="1:14" s="248" customFormat="1" ht="15" customHeight="1">
      <c r="A278" s="250">
        <v>3.9500199999999999</v>
      </c>
      <c r="B278" s="285" t="s">
        <v>2773</v>
      </c>
      <c r="C278" s="252" t="str">
        <f>VLOOKUP($B278,'[4]Data - DO NOT PRINT'!$B$3:$G$297,2,FALSE)</f>
        <v>Inaccessible Void</v>
      </c>
      <c r="D278" s="253" t="str">
        <f>VLOOKUP($B278,'[4]Data - DO NOT PRINT'!$B$3:$G$297,3,FALSE)</f>
        <v>Hold</v>
      </c>
      <c r="E278" s="253">
        <f>VLOOKUP($B278,'[4]Data - DO NOT PRINT'!$B$3:$G$297,4,FALSE)</f>
        <v>0</v>
      </c>
      <c r="F278" s="253">
        <f>VLOOKUP($B278,'[4]Data - DO NOT PRINT'!$B$3:$G$297,5,FALSE)</f>
        <v>0.12217700000000001</v>
      </c>
      <c r="G278" s="254"/>
      <c r="H278" s="246"/>
      <c r="I278" s="247"/>
      <c r="J278" s="246"/>
      <c r="K278" s="246"/>
      <c r="L278" s="246"/>
      <c r="M278" s="246"/>
      <c r="N278" s="246"/>
    </row>
    <row r="279" spans="1:14" s="248" customFormat="1" ht="15" customHeight="1">
      <c r="A279" s="250">
        <v>3.9500199999999999</v>
      </c>
      <c r="B279" s="285" t="s">
        <v>2774</v>
      </c>
      <c r="C279" s="252" t="str">
        <f>VLOOKUP($B279,'[4]Data - DO NOT PRINT'!$B$3:$G$297,2,FALSE)</f>
        <v>Inaccessible Void</v>
      </c>
      <c r="D279" s="253" t="str">
        <f>VLOOKUP($B279,'[4]Data - DO NOT PRINT'!$B$3:$G$297,3,FALSE)</f>
        <v>Hold</v>
      </c>
      <c r="E279" s="253">
        <f>VLOOKUP($B279,'[4]Data - DO NOT PRINT'!$B$3:$G$297,4,FALSE)</f>
        <v>0</v>
      </c>
      <c r="F279" s="253">
        <f>VLOOKUP($B279,'[4]Data - DO NOT PRINT'!$B$3:$G$297,5,FALSE)</f>
        <v>0.12217700000000001</v>
      </c>
      <c r="G279" s="254"/>
      <c r="H279" s="246"/>
      <c r="I279" s="247"/>
      <c r="J279" s="246"/>
      <c r="K279" s="246"/>
      <c r="L279" s="246"/>
      <c r="M279" s="246"/>
      <c r="N279" s="246"/>
    </row>
    <row r="280" spans="1:14" s="248" customFormat="1" ht="15" customHeight="1">
      <c r="A280" s="250">
        <v>3.9500099999999998</v>
      </c>
      <c r="B280" s="251" t="s">
        <v>2775</v>
      </c>
      <c r="C280" s="252" t="str">
        <f>VLOOKUP($B280,'[4]Data - DO NOT PRINT'!$B$3:$G$297,2,FALSE)</f>
        <v>Void</v>
      </c>
      <c r="D280" s="253" t="str">
        <f>VLOOKUP($B280,'[4]Data - DO NOT PRINT'!$B$3:$G$297,3,FALSE)</f>
        <v>Hold</v>
      </c>
      <c r="E280" s="253">
        <f>VLOOKUP($B280,'[4]Data - DO NOT PRINT'!$B$3:$G$297,4,FALSE)</f>
        <v>0</v>
      </c>
      <c r="F280" s="253">
        <f>VLOOKUP($B280,'[4]Data - DO NOT PRINT'!$B$3:$G$297,5,FALSE)</f>
        <v>11.708742000000001</v>
      </c>
      <c r="G280" s="254" t="str">
        <f>IF(VLOOKUP($B280,'[4]Data - DO NOT PRINT'!$B$3:$G$297,6,FALSE)=0,"",VLOOKUP($B280,'[4]Data - DO NOT PRINT'!$B$3:$G$297,6,FALSE))</f>
        <v/>
      </c>
      <c r="H280" s="246"/>
      <c r="I280" s="247"/>
      <c r="J280" s="246"/>
      <c r="K280" s="246"/>
      <c r="L280" s="246"/>
      <c r="M280" s="246"/>
      <c r="N280" s="246"/>
    </row>
    <row r="281" spans="1:14" s="248" customFormat="1" ht="15" customHeight="1">
      <c r="A281" s="250">
        <v>3.9500199999999999</v>
      </c>
      <c r="B281" s="251" t="s">
        <v>2776</v>
      </c>
      <c r="C281" s="252" t="str">
        <f>VLOOKUP($B281,'[4]Data - DO NOT PRINT'!$B$3:$G$297,2,FALSE)</f>
        <v>Inaccessible Void</v>
      </c>
      <c r="D281" s="253" t="str">
        <f>VLOOKUP($B281,'[4]Data - DO NOT PRINT'!$B$3:$G$297,3,FALSE)</f>
        <v>Hold</v>
      </c>
      <c r="E281" s="253">
        <f>VLOOKUP($B281,'[4]Data - DO NOT PRINT'!$B$3:$G$297,4,FALSE)</f>
        <v>0</v>
      </c>
      <c r="F281" s="253">
        <f>VLOOKUP($B281,'[4]Data - DO NOT PRINT'!$B$3:$G$297,5,FALSE)</f>
        <v>0.21562899999999999</v>
      </c>
      <c r="G281" s="254"/>
      <c r="H281" s="246"/>
      <c r="I281" s="247"/>
      <c r="J281" s="246"/>
      <c r="K281" s="246"/>
      <c r="L281" s="246"/>
      <c r="M281" s="246"/>
      <c r="N281" s="246"/>
    </row>
    <row r="282" spans="1:14" s="248" customFormat="1" ht="15" customHeight="1">
      <c r="A282" s="250">
        <v>3.9500199999999999</v>
      </c>
      <c r="B282" s="251" t="s">
        <v>2777</v>
      </c>
      <c r="C282" s="252" t="str">
        <f>VLOOKUP($B282,'[4]Data - DO NOT PRINT'!$B$3:$G$297,2,FALSE)</f>
        <v>Inaccessible Void</v>
      </c>
      <c r="D282" s="253" t="str">
        <f>VLOOKUP($B282,'[4]Data - DO NOT PRINT'!$B$3:$G$297,3,FALSE)</f>
        <v>Hold</v>
      </c>
      <c r="E282" s="253">
        <f>VLOOKUP($B282,'[4]Data - DO NOT PRINT'!$B$3:$G$297,4,FALSE)</f>
        <v>0</v>
      </c>
      <c r="F282" s="253">
        <f>VLOOKUP($B282,'[4]Data - DO NOT PRINT'!$B$3:$G$297,5,FALSE)</f>
        <v>0.21562899999999999</v>
      </c>
      <c r="G282" s="254"/>
      <c r="H282" s="246"/>
      <c r="I282" s="247"/>
      <c r="J282" s="246"/>
      <c r="K282" s="246"/>
      <c r="L282" s="246"/>
      <c r="M282" s="246"/>
      <c r="N282" s="246"/>
    </row>
    <row r="283" spans="1:14" s="248" customFormat="1" ht="15" customHeight="1">
      <c r="A283" s="250">
        <v>3.9500099999999998</v>
      </c>
      <c r="B283" s="251" t="s">
        <v>2778</v>
      </c>
      <c r="C283" s="252" t="str">
        <f>VLOOKUP($B283,'[4]Data - DO NOT PRINT'!$B$3:$G$297,2,FALSE)</f>
        <v>Void</v>
      </c>
      <c r="D283" s="253" t="str">
        <f>VLOOKUP($B283,'[4]Data - DO NOT PRINT'!$B$3:$G$297,3,FALSE)</f>
        <v>Hold</v>
      </c>
      <c r="E283" s="253">
        <f>VLOOKUP($B283,'[4]Data - DO NOT PRINT'!$B$3:$G$297,4,FALSE)</f>
        <v>0</v>
      </c>
      <c r="F283" s="253">
        <f>VLOOKUP($B283,'[4]Data - DO NOT PRINT'!$B$3:$G$297,5,FALSE)</f>
        <v>1.98</v>
      </c>
      <c r="G283" s="254" t="str">
        <f>IF(VLOOKUP($B283,'[4]Data - DO NOT PRINT'!$B$3:$G$297,6,FALSE)=0,"",VLOOKUP($B283,'[4]Data - DO NOT PRINT'!$B$3:$G$297,6,FALSE))</f>
        <v/>
      </c>
      <c r="H283" s="246"/>
      <c r="I283" s="247"/>
      <c r="J283" s="246"/>
      <c r="K283" s="246"/>
      <c r="L283" s="246"/>
      <c r="M283" s="246"/>
      <c r="N283" s="246"/>
    </row>
    <row r="284" spans="1:14" s="248" customFormat="1" ht="15" customHeight="1">
      <c r="A284" s="250">
        <v>3.9500199999999999</v>
      </c>
      <c r="B284" s="251" t="s">
        <v>2779</v>
      </c>
      <c r="C284" s="252" t="str">
        <f>VLOOKUP($B284,'[4]Data - DO NOT PRINT'!$B$3:$G$297,2,FALSE)</f>
        <v>Inaccessible Void</v>
      </c>
      <c r="D284" s="253" t="str">
        <f>VLOOKUP($B284,'[4]Data - DO NOT PRINT'!$B$3:$G$297,3,FALSE)</f>
        <v>Hold</v>
      </c>
      <c r="E284" s="253">
        <f>VLOOKUP($B284,'[4]Data - DO NOT PRINT'!$B$3:$G$297,4,FALSE)</f>
        <v>0</v>
      </c>
      <c r="F284" s="253">
        <f>VLOOKUP($B284,'[4]Data - DO NOT PRINT'!$B$3:$G$297,5,FALSE)</f>
        <v>8.6531338099999999</v>
      </c>
      <c r="G284" s="254" t="str">
        <f>IF(VLOOKUP($B284,'[4]Data - DO NOT PRINT'!$B$3:$G$297,6,FALSE)=0,"",VLOOKUP($B284,'[4]Data - DO NOT PRINT'!$B$3:$G$297,6,FALSE))</f>
        <v/>
      </c>
      <c r="H284" s="246"/>
      <c r="I284" s="247"/>
      <c r="J284" s="246"/>
      <c r="K284" s="246"/>
      <c r="L284" s="246"/>
      <c r="M284" s="246"/>
      <c r="N284" s="246"/>
    </row>
    <row r="285" spans="1:14" s="248" customFormat="1" ht="15" customHeight="1">
      <c r="A285" s="250">
        <v>3.9500199999999999</v>
      </c>
      <c r="B285" s="251" t="s">
        <v>2780</v>
      </c>
      <c r="C285" s="252" t="str">
        <f>VLOOKUP($B285,'[4]Data - DO NOT PRINT'!$B$3:$G$297,2,FALSE)</f>
        <v>Inaccessible Void</v>
      </c>
      <c r="D285" s="253" t="str">
        <f>VLOOKUP($B285,'[4]Data - DO NOT PRINT'!$B$3:$G$297,3,FALSE)</f>
        <v>Tank Top</v>
      </c>
      <c r="E285" s="253">
        <f>VLOOKUP($B285,'[4]Data - DO NOT PRINT'!$B$3:$G$297,4,FALSE)</f>
        <v>0</v>
      </c>
      <c r="F285" s="253">
        <f>VLOOKUP($B285,'[4]Data - DO NOT PRINT'!$B$3:$G$297,5,FALSE)</f>
        <v>24.151049999999998</v>
      </c>
      <c r="G285" s="254" t="str">
        <f>IF(VLOOKUP($B285,'[4]Data - DO NOT PRINT'!$B$3:$G$297,6,FALSE)=0,"",VLOOKUP($B285,'[4]Data - DO NOT PRINT'!$B$3:$G$297,6,FALSE))</f>
        <v/>
      </c>
      <c r="H285" s="246"/>
      <c r="I285" s="247"/>
      <c r="J285" s="246"/>
      <c r="K285" s="246"/>
      <c r="L285" s="246"/>
      <c r="M285" s="246"/>
      <c r="N285" s="246"/>
    </row>
    <row r="286" spans="1:14" s="248" customFormat="1" ht="15" customHeight="1">
      <c r="A286" s="250">
        <v>3.9500299999999999</v>
      </c>
      <c r="B286" s="251" t="s">
        <v>2781</v>
      </c>
      <c r="C286" s="252" t="str">
        <f>VLOOKUP($B286,'[4]Data - DO NOT PRINT'!$B$3:$G$297,2,FALSE)</f>
        <v>Buoyancy Tank</v>
      </c>
      <c r="D286" s="253" t="str">
        <f>VLOOKUP($B286,'[4]Data - DO NOT PRINT'!$B$3:$G$297,3,FALSE)</f>
        <v>2nd Platform</v>
      </c>
      <c r="E286" s="253">
        <f>VLOOKUP($B286,'[4]Data - DO NOT PRINT'!$B$3:$G$297,4,FALSE)</f>
        <v>0</v>
      </c>
      <c r="F286" s="253">
        <f>VLOOKUP($B286,'[4]Data - DO NOT PRINT'!$B$3:$G$297,5,FALSE)</f>
        <v>15.8752271</v>
      </c>
      <c r="G286" s="254" t="str">
        <f>IF(VLOOKUP($B286,'[4]Data - DO NOT PRINT'!$B$3:$G$297,6,FALSE)=0,"",VLOOKUP($B286,'[4]Data - DO NOT PRINT'!$B$3:$G$297,6,FALSE))</f>
        <v>1st Plat</v>
      </c>
      <c r="H286" s="246"/>
      <c r="I286" s="247"/>
      <c r="J286" s="246"/>
      <c r="K286" s="246"/>
      <c r="L286" s="246"/>
      <c r="M286" s="246"/>
      <c r="N286" s="246"/>
    </row>
    <row r="287" spans="1:14" s="248" customFormat="1" ht="15" customHeight="1">
      <c r="A287" s="250">
        <v>3.9500299999999999</v>
      </c>
      <c r="B287" s="251" t="s">
        <v>2782</v>
      </c>
      <c r="C287" s="252" t="str">
        <f>VLOOKUP($B287,'[4]Data - DO NOT PRINT'!$B$3:$G$297,2,FALSE)</f>
        <v>Buoyancy Tank</v>
      </c>
      <c r="D287" s="253" t="str">
        <f>VLOOKUP($B287,'[4]Data - DO NOT PRINT'!$B$3:$G$297,3,FALSE)</f>
        <v>2nd Platform</v>
      </c>
      <c r="E287" s="253">
        <f>VLOOKUP($B287,'[4]Data - DO NOT PRINT'!$B$3:$G$297,4,FALSE)</f>
        <v>0</v>
      </c>
      <c r="F287" s="253">
        <f>VLOOKUP($B287,'[4]Data - DO NOT PRINT'!$B$3:$G$297,5,FALSE)</f>
        <v>62.31</v>
      </c>
      <c r="G287" s="254" t="str">
        <f>IF(VLOOKUP($B287,'[4]Data - DO NOT PRINT'!$B$3:$G$297,6,FALSE)=0,"",VLOOKUP($B287,'[4]Data - DO NOT PRINT'!$B$3:$G$297,6,FALSE))</f>
        <v/>
      </c>
      <c r="H287" s="246"/>
      <c r="I287" s="247"/>
      <c r="J287" s="246"/>
      <c r="K287" s="246"/>
      <c r="L287" s="246"/>
      <c r="M287" s="246"/>
      <c r="N287" s="246"/>
    </row>
    <row r="288" spans="1:14" s="248" customFormat="1" ht="15" customHeight="1">
      <c r="A288" s="250">
        <v>3.9500299999999999</v>
      </c>
      <c r="B288" s="251" t="s">
        <v>2783</v>
      </c>
      <c r="C288" s="252" t="str">
        <f>VLOOKUP($B288,'[4]Data - DO NOT PRINT'!$B$3:$G$297,2,FALSE)</f>
        <v>Buoyancy Tank</v>
      </c>
      <c r="D288" s="253" t="str">
        <f>VLOOKUP($B288,'[4]Data - DO NOT PRINT'!$B$3:$G$297,3,FALSE)</f>
        <v>Tank Top</v>
      </c>
      <c r="E288" s="253">
        <f>VLOOKUP($B288,'[4]Data - DO NOT PRINT'!$B$3:$G$297,4,FALSE)</f>
        <v>0</v>
      </c>
      <c r="F288" s="253">
        <f>VLOOKUP($B288,'[4]Data - DO NOT PRINT'!$B$3:$G$297,5,FALSE)</f>
        <v>91.414728400000001</v>
      </c>
      <c r="G288" s="254" t="str">
        <f>IF(VLOOKUP($B288,'[4]Data - DO NOT PRINT'!$B$3:$G$297,6,FALSE)=0,"",VLOOKUP($B288,'[4]Data - DO NOT PRINT'!$B$3:$G$297,6,FALSE))</f>
        <v/>
      </c>
      <c r="H288" s="246"/>
      <c r="I288" s="247"/>
      <c r="J288" s="246"/>
      <c r="K288" s="246"/>
      <c r="L288" s="246"/>
      <c r="M288" s="246"/>
      <c r="N288" s="246"/>
    </row>
    <row r="289" spans="1:14" s="248" customFormat="1" ht="15" customHeight="1" thickBot="1">
      <c r="A289" s="250">
        <v>3.9500299999999999</v>
      </c>
      <c r="B289" s="287" t="s">
        <v>2784</v>
      </c>
      <c r="C289" s="252" t="str">
        <f>VLOOKUP($B289,'[4]Data - DO NOT PRINT'!$B$3:$G$297,2,FALSE)</f>
        <v>Buoyancy Tank</v>
      </c>
      <c r="D289" s="253" t="str">
        <f>VLOOKUP($B289,'[4]Data - DO NOT PRINT'!$B$3:$G$297,3,FALSE)</f>
        <v>Tank Top</v>
      </c>
      <c r="E289" s="253">
        <f>VLOOKUP($B289,'[4]Data - DO NOT PRINT'!$B$3:$G$297,4,FALSE)</f>
        <v>0</v>
      </c>
      <c r="F289" s="253">
        <f>VLOOKUP($B289,'[4]Data - DO NOT PRINT'!$B$3:$G$297,5,FALSE)</f>
        <v>91.414728400000001</v>
      </c>
      <c r="G289" s="288"/>
      <c r="H289" s="246"/>
      <c r="I289" s="247"/>
      <c r="J289" s="246"/>
      <c r="K289" s="246"/>
      <c r="L289" s="246"/>
      <c r="M289" s="246"/>
      <c r="N289" s="246"/>
    </row>
    <row r="290" spans="1:14" s="248" customFormat="1" ht="15" customHeight="1" thickBot="1">
      <c r="A290" s="262"/>
      <c r="B290" s="431" t="s">
        <v>2785</v>
      </c>
      <c r="C290" s="431"/>
      <c r="D290" s="432"/>
      <c r="E290" s="263">
        <f>SUBTOTAL(9,E271:E289)</f>
        <v>6.14</v>
      </c>
      <c r="F290" s="263">
        <f>SUBTOTAL(9,F271:F289)</f>
        <v>344.59499471000004</v>
      </c>
      <c r="G290" s="264"/>
      <c r="H290" s="246"/>
      <c r="I290" s="265"/>
      <c r="J290" s="266"/>
      <c r="K290" s="267"/>
      <c r="L290" s="268"/>
      <c r="M290" s="246"/>
      <c r="N290" s="246"/>
    </row>
    <row r="291" spans="1:14" s="248" customFormat="1" ht="15" customHeight="1">
      <c r="A291" s="269">
        <v>4.1320100000000002</v>
      </c>
      <c r="B291" s="270" t="s">
        <v>2786</v>
      </c>
      <c r="C291" s="271" t="str">
        <f>VLOOKUP($B291,'[4]Data - DO NOT PRINT'!$B$3:$G$297,2,FALSE)</f>
        <v>Intake Trunk</v>
      </c>
      <c r="D291" s="272" t="str">
        <f>VLOOKUP($B291,'[4]Data - DO NOT PRINT'!$B$3:$G$297,3,FALSE)</f>
        <v>1st Platform</v>
      </c>
      <c r="E291" s="272">
        <f>VLOOKUP($B291,'[4]Data - DO NOT PRINT'!$B$3:$G$297,4,FALSE)</f>
        <v>4.22</v>
      </c>
      <c r="F291" s="272">
        <f>VLOOKUP($B291,'[4]Data - DO NOT PRINT'!$B$3:$G$297,5,FALSE)</f>
        <v>85.96</v>
      </c>
      <c r="G291" s="273" t="str">
        <f>IF(VLOOKUP($B291,'[4]Data - DO NOT PRINT'!$B$3:$G$297,6,FALSE)=0,"",VLOOKUP($B291,'[4]Data - DO NOT PRINT'!$B$3:$G$297,6,FALSE))</f>
        <v>01 Level</v>
      </c>
      <c r="H291" s="246"/>
      <c r="I291" s="247"/>
      <c r="J291" s="246"/>
      <c r="K291" s="246"/>
      <c r="L291" s="246"/>
      <c r="M291" s="246"/>
      <c r="N291" s="246"/>
    </row>
    <row r="292" spans="1:14" s="248" customFormat="1" ht="15" customHeight="1">
      <c r="A292" s="250">
        <v>4.1330099999999996</v>
      </c>
      <c r="B292" s="251" t="s">
        <v>2787</v>
      </c>
      <c r="C292" s="252" t="str">
        <f>VLOOKUP($B292,'[4]Data - DO NOT PRINT'!$B$3:$G$297,2,FALSE)</f>
        <v>Uptake Trunk</v>
      </c>
      <c r="D292" s="253" t="str">
        <f>VLOOKUP($B292,'[4]Data - DO NOT PRINT'!$B$3:$G$297,3,FALSE)</f>
        <v>1st Platform</v>
      </c>
      <c r="E292" s="253">
        <f>VLOOKUP($B292,'[4]Data - DO NOT PRINT'!$B$3:$G$297,4,FALSE)</f>
        <v>6.38</v>
      </c>
      <c r="F292" s="253">
        <f>VLOOKUP($B292,'[4]Data - DO NOT PRINT'!$B$3:$G$297,5,FALSE)</f>
        <v>70.3</v>
      </c>
      <c r="G292" s="254" t="str">
        <f>IF(VLOOKUP($B292,'[4]Data - DO NOT PRINT'!$B$3:$G$297,6,FALSE)=0,"",VLOOKUP($B292,'[4]Data - DO NOT PRINT'!$B$3:$G$297,6,FALSE))</f>
        <v>03 Level</v>
      </c>
      <c r="H292" s="246"/>
      <c r="I292" s="247"/>
      <c r="J292" s="246"/>
      <c r="K292" s="246"/>
      <c r="L292" s="246"/>
      <c r="M292" s="246"/>
      <c r="N292" s="246"/>
    </row>
    <row r="293" spans="1:14" s="248" customFormat="1" ht="15" customHeight="1">
      <c r="A293" s="250">
        <v>4.1330099999999996</v>
      </c>
      <c r="B293" s="251" t="s">
        <v>2788</v>
      </c>
      <c r="C293" s="252" t="str">
        <f>VLOOKUP($B293,'[4]Data - DO NOT PRINT'!$B$3:$G$297,2,FALSE)</f>
        <v>Uptake Trunk</v>
      </c>
      <c r="D293" s="253" t="str">
        <f>VLOOKUP($B293,'[4]Data - DO NOT PRINT'!$B$3:$G$297,3,FALSE)</f>
        <v>1st Platform</v>
      </c>
      <c r="E293" s="253">
        <f>VLOOKUP($B293,'[4]Data - DO NOT PRINT'!$B$3:$G$297,4,FALSE)</f>
        <v>6.23</v>
      </c>
      <c r="F293" s="253">
        <f>VLOOKUP($B293,'[4]Data - DO NOT PRINT'!$B$3:$G$297,5,FALSE)</f>
        <v>72.75</v>
      </c>
      <c r="G293" s="254" t="str">
        <f>IF(VLOOKUP($B293,'[4]Data - DO NOT PRINT'!$B$3:$G$297,6,FALSE)=0,"",VLOOKUP($B293,'[4]Data - DO NOT PRINT'!$B$3:$G$297,6,FALSE))</f>
        <v>03 Level</v>
      </c>
      <c r="H293" s="246"/>
      <c r="I293" s="247"/>
      <c r="J293" s="246"/>
      <c r="K293" s="246"/>
      <c r="L293" s="246"/>
      <c r="M293" s="246"/>
      <c r="N293" s="246"/>
    </row>
    <row r="294" spans="1:14" s="248" customFormat="1" ht="15" customHeight="1">
      <c r="A294" s="250">
        <v>4.1330099999999996</v>
      </c>
      <c r="B294" s="251" t="s">
        <v>2789</v>
      </c>
      <c r="C294" s="252" t="str">
        <f>VLOOKUP($B294,'[4]Data - DO NOT PRINT'!$B$3:$G$297,2,FALSE)</f>
        <v>Uptake</v>
      </c>
      <c r="D294" s="253" t="str">
        <f>VLOOKUP($B294,'[4]Data - DO NOT PRINT'!$B$3:$G$297,3,FALSE)</f>
        <v>2nd Platform</v>
      </c>
      <c r="E294" s="253">
        <f>VLOOKUP($B294,'[4]Data - DO NOT PRINT'!$B$3:$G$297,4,FALSE)</f>
        <v>1.41</v>
      </c>
      <c r="F294" s="253">
        <f>VLOOKUP($B294,'[4]Data - DO NOT PRINT'!$B$3:$G$297,5,FALSE)</f>
        <v>6.73</v>
      </c>
      <c r="G294" s="254" t="str">
        <f>IF(VLOOKUP($B294,'[4]Data - DO NOT PRINT'!$B$3:$G$297,6,FALSE)=0,"",VLOOKUP($B294,'[4]Data - DO NOT PRINT'!$B$3:$G$297,6,FALSE))</f>
        <v/>
      </c>
      <c r="H294" s="246"/>
      <c r="I294" s="247"/>
      <c r="J294" s="246"/>
      <c r="K294" s="246"/>
      <c r="L294" s="246"/>
      <c r="M294" s="246"/>
      <c r="N294" s="246"/>
    </row>
    <row r="295" spans="1:14" s="248" customFormat="1" ht="15" customHeight="1" thickBot="1">
      <c r="A295" s="257">
        <v>4.1330099999999996</v>
      </c>
      <c r="B295" s="258" t="s">
        <v>2790</v>
      </c>
      <c r="C295" s="259" t="str">
        <f>VLOOKUP($B295,'[4]Data - DO NOT PRINT'!$B$3:$G$297,2,FALSE)</f>
        <v>Uptake</v>
      </c>
      <c r="D295" s="260" t="str">
        <f>VLOOKUP($B295,'[4]Data - DO NOT PRINT'!$B$3:$G$297,3,FALSE)</f>
        <v>2nd Platform</v>
      </c>
      <c r="E295" s="260">
        <f>VLOOKUP($B295,'[4]Data - DO NOT PRINT'!$B$3:$G$297,4,FALSE)</f>
        <v>1.4</v>
      </c>
      <c r="F295" s="260">
        <f>VLOOKUP($B295,'[4]Data - DO NOT PRINT'!$B$3:$G$297,5,FALSE)</f>
        <v>6.73</v>
      </c>
      <c r="G295" s="261" t="str">
        <f>IF(VLOOKUP($B295,'[4]Data - DO NOT PRINT'!$B$3:$G$297,6,FALSE)=0,"",VLOOKUP($B295,'[4]Data - DO NOT PRINT'!$B$3:$G$297,6,FALSE))</f>
        <v/>
      </c>
      <c r="H295" s="246"/>
      <c r="I295" s="247"/>
      <c r="J295" s="246"/>
      <c r="K295" s="246"/>
      <c r="L295" s="246"/>
      <c r="M295" s="246"/>
      <c r="N295" s="246"/>
    </row>
    <row r="296" spans="1:14" s="248" customFormat="1" ht="15" customHeight="1" thickBot="1">
      <c r="A296" s="262"/>
      <c r="B296" s="431" t="s">
        <v>2791</v>
      </c>
      <c r="C296" s="431"/>
      <c r="D296" s="432"/>
      <c r="E296" s="263">
        <f>SUBTOTAL(9,E291:E295)</f>
        <v>19.639999999999997</v>
      </c>
      <c r="F296" s="263">
        <f>SUBTOTAL(9,F291:F295)</f>
        <v>242.46999999999997</v>
      </c>
      <c r="G296" s="264"/>
      <c r="H296" s="246"/>
      <c r="I296" s="265"/>
      <c r="J296" s="266"/>
      <c r="K296" s="267"/>
      <c r="L296" s="268"/>
      <c r="M296" s="246"/>
      <c r="N296" s="246"/>
    </row>
    <row r="297" spans="1:14" s="248" customFormat="1" ht="15" customHeight="1">
      <c r="A297" s="281">
        <v>4.1410099999999996</v>
      </c>
      <c r="B297" s="270" t="s">
        <v>2792</v>
      </c>
      <c r="C297" s="271" t="str">
        <f>VLOOKUP($B297,'[4]Data - DO NOT PRINT'!$B$3:$G$297,2,FALSE)</f>
        <v>Gas Turbine Machinery Room</v>
      </c>
      <c r="D297" s="272" t="str">
        <f>VLOOKUP($B297,'[4]Data - DO NOT PRINT'!$B$3:$G$297,3,FALSE)</f>
        <v>Tank Top</v>
      </c>
      <c r="E297" s="272">
        <f>VLOOKUP($B297,'[4]Data - DO NOT PRINT'!$B$3:$G$297,4,FALSE)</f>
        <v>81.819999999999993</v>
      </c>
      <c r="F297" s="272">
        <f>VLOOKUP($B297,'[4]Data - DO NOT PRINT'!$B$3:$G$297,5,FALSE)</f>
        <v>1028.47</v>
      </c>
      <c r="G297" s="273" t="str">
        <f>IF(VLOOKUP($B297,'[4]Data - DO NOT PRINT'!$B$3:$G$297,6,FALSE)=0,"",VLOOKUP($B297,'[4]Data - DO NOT PRINT'!$B$3:$G$297,6,FALSE))</f>
        <v>2nd Plat, 1st Plat</v>
      </c>
      <c r="H297" s="246"/>
      <c r="I297" s="247"/>
      <c r="J297" s="246"/>
      <c r="K297" s="246"/>
      <c r="L297" s="246"/>
      <c r="M297" s="246"/>
      <c r="N297" s="246"/>
    </row>
    <row r="298" spans="1:14" s="248" customFormat="1" ht="15" customHeight="1">
      <c r="A298" s="250">
        <v>4.14201</v>
      </c>
      <c r="B298" s="251" t="s">
        <v>2793</v>
      </c>
      <c r="C298" s="252" t="str">
        <f>VLOOKUP($B298,'[4]Data - DO NOT PRINT'!$B$3:$G$297,2,FALSE)</f>
        <v>Intake Plenum</v>
      </c>
      <c r="D298" s="253" t="str">
        <f>VLOOKUP($B298,'[4]Data - DO NOT PRINT'!$B$3:$G$297,3,FALSE)</f>
        <v>02 Level</v>
      </c>
      <c r="E298" s="253">
        <f>VLOOKUP($B298,'[4]Data - DO NOT PRINT'!$B$3:$G$297,4,FALSE)</f>
        <v>39.549999999999997</v>
      </c>
      <c r="F298" s="253">
        <f>VLOOKUP($B298,'[4]Data - DO NOT PRINT'!$B$3:$G$297,5,FALSE)</f>
        <v>76.959999999999994</v>
      </c>
      <c r="G298" s="254" t="str">
        <f>IF(VLOOKUP($B298,'[4]Data - DO NOT PRINT'!$B$3:$G$297,6,FALSE)=0,"",VLOOKUP($B298,'[4]Data - DO NOT PRINT'!$B$3:$G$297,6,FALSE))</f>
        <v/>
      </c>
      <c r="H298" s="246"/>
      <c r="I298" s="247"/>
      <c r="J298" s="246"/>
      <c r="K298" s="246"/>
      <c r="L298" s="246"/>
      <c r="M298" s="246"/>
      <c r="N298" s="246"/>
    </row>
    <row r="299" spans="1:14" s="248" customFormat="1" ht="15" customHeight="1">
      <c r="A299" s="250">
        <v>4.14201</v>
      </c>
      <c r="B299" s="251" t="s">
        <v>2794</v>
      </c>
      <c r="C299" s="252" t="str">
        <f>VLOOKUP($B299,'[4]Data - DO NOT PRINT'!$B$3:$G$297,2,FALSE)</f>
        <v>Intake Plenum</v>
      </c>
      <c r="D299" s="253" t="str">
        <f>VLOOKUP($B299,'[4]Data - DO NOT PRINT'!$B$3:$G$297,3,FALSE)</f>
        <v>02 Level</v>
      </c>
      <c r="E299" s="253">
        <f>VLOOKUP($B299,'[4]Data - DO NOT PRINT'!$B$3:$G$297,4,FALSE)</f>
        <v>39.549999999999997</v>
      </c>
      <c r="F299" s="253">
        <f>VLOOKUP($B299,'[4]Data - DO NOT PRINT'!$B$3:$G$297,5,FALSE)</f>
        <v>76.959999999999994</v>
      </c>
      <c r="G299" s="254" t="str">
        <f>IF(VLOOKUP($B299,'[4]Data - DO NOT PRINT'!$B$3:$G$297,6,FALSE)=0,"",VLOOKUP($B299,'[4]Data - DO NOT PRINT'!$B$3:$G$297,6,FALSE))</f>
        <v/>
      </c>
      <c r="H299" s="246"/>
      <c r="I299" s="247"/>
      <c r="J299" s="246"/>
      <c r="K299" s="246"/>
      <c r="L299" s="246"/>
      <c r="M299" s="246"/>
      <c r="N299" s="246"/>
    </row>
    <row r="300" spans="1:14" s="248" customFormat="1" ht="15" customHeight="1">
      <c r="A300" s="250">
        <v>4.14201</v>
      </c>
      <c r="B300" s="251" t="s">
        <v>2795</v>
      </c>
      <c r="C300" s="252" t="str">
        <f>VLOOKUP($B300,'[4]Data - DO NOT PRINT'!$B$3:$G$297,2,FALSE)</f>
        <v>Intake Trunk</v>
      </c>
      <c r="D300" s="253" t="str">
        <f>VLOOKUP($B300,'[4]Data - DO NOT PRINT'!$B$3:$G$297,3,FALSE)</f>
        <v>Main Deck</v>
      </c>
      <c r="E300" s="253">
        <f>VLOOKUP($B300,'[4]Data - DO NOT PRINT'!$B$3:$G$297,4,FALSE)</f>
        <v>14.33</v>
      </c>
      <c r="F300" s="253">
        <f>VLOOKUP($B300,'[4]Data - DO NOT PRINT'!$B$3:$G$297,5,FALSE)</f>
        <v>87.39</v>
      </c>
      <c r="G300" s="254" t="str">
        <f>IF(VLOOKUP($B300,'[4]Data - DO NOT PRINT'!$B$3:$G$297,6,FALSE)=0,"",VLOOKUP($B300,'[4]Data - DO NOT PRINT'!$B$3:$G$297,6,FALSE))</f>
        <v>03 Level</v>
      </c>
      <c r="H300" s="246"/>
      <c r="I300" s="247"/>
      <c r="J300" s="246"/>
      <c r="K300" s="246"/>
      <c r="L300" s="246"/>
      <c r="M300" s="246"/>
      <c r="N300" s="246"/>
    </row>
    <row r="301" spans="1:14" s="248" customFormat="1" ht="15" customHeight="1">
      <c r="A301" s="250">
        <v>4.14201</v>
      </c>
      <c r="B301" s="251" t="s">
        <v>2796</v>
      </c>
      <c r="C301" s="252" t="str">
        <f>VLOOKUP($B301,'[4]Data - DO NOT PRINT'!$B$3:$G$297,2,FALSE)</f>
        <v>Intake Trunk</v>
      </c>
      <c r="D301" s="253" t="str">
        <f>VLOOKUP($B301,'[4]Data - DO NOT PRINT'!$B$3:$G$297,3,FALSE)</f>
        <v>Main Deck</v>
      </c>
      <c r="E301" s="253">
        <f>VLOOKUP($B301,'[4]Data - DO NOT PRINT'!$B$3:$G$297,4,FALSE)</f>
        <v>14.33</v>
      </c>
      <c r="F301" s="253">
        <f>VLOOKUP($B301,'[4]Data - DO NOT PRINT'!$B$3:$G$297,5,FALSE)</f>
        <v>87.39</v>
      </c>
      <c r="G301" s="254" t="str">
        <f>IF(VLOOKUP($B301,'[4]Data - DO NOT PRINT'!$B$3:$G$297,6,FALSE)=0,"",VLOOKUP($B301,'[4]Data - DO NOT PRINT'!$B$3:$G$297,6,FALSE))</f>
        <v>03 Level</v>
      </c>
      <c r="H301" s="246"/>
      <c r="I301" s="247"/>
      <c r="J301" s="246"/>
      <c r="K301" s="246"/>
      <c r="L301" s="246"/>
      <c r="M301" s="246"/>
      <c r="N301" s="246"/>
    </row>
    <row r="302" spans="1:14" s="248" customFormat="1" ht="15" customHeight="1">
      <c r="A302" s="250">
        <v>4.1430100000000003</v>
      </c>
      <c r="B302" s="251" t="s">
        <v>2797</v>
      </c>
      <c r="C302" s="252" t="str">
        <f>VLOOKUP($B302,'[4]Data - DO NOT PRINT'!$B$3:$G$297,2,FALSE)</f>
        <v>Uptake Trunk</v>
      </c>
      <c r="D302" s="253" t="str">
        <f>VLOOKUP($B302,'[4]Data - DO NOT PRINT'!$B$3:$G$297,3,FALSE)</f>
        <v>Main Deck</v>
      </c>
      <c r="E302" s="253">
        <f>VLOOKUP($B302,'[4]Data - DO NOT PRINT'!$B$3:$G$297,4,FALSE)</f>
        <v>11.04</v>
      </c>
      <c r="F302" s="253">
        <f>VLOOKUP($B302,'[4]Data - DO NOT PRINT'!$B$3:$G$297,5,FALSE)</f>
        <v>100.72</v>
      </c>
      <c r="G302" s="254" t="str">
        <f>IF(VLOOKUP($B302,'[4]Data - DO NOT PRINT'!$B$3:$G$297,6,FALSE)=0,"",VLOOKUP($B302,'[4]Data - DO NOT PRINT'!$B$3:$G$297,6,FALSE))</f>
        <v>04 Level</v>
      </c>
      <c r="H302" s="246"/>
      <c r="I302" s="247"/>
      <c r="J302" s="246"/>
      <c r="K302" s="246"/>
      <c r="L302" s="246"/>
      <c r="M302" s="246"/>
      <c r="N302" s="246"/>
    </row>
    <row r="303" spans="1:14" s="248" customFormat="1" ht="15" customHeight="1">
      <c r="A303" s="250">
        <v>4.1430100000000003</v>
      </c>
      <c r="B303" s="251" t="s">
        <v>2798</v>
      </c>
      <c r="C303" s="252" t="str">
        <f>VLOOKUP($B303,'[4]Data - DO NOT PRINT'!$B$3:$G$297,2,FALSE)</f>
        <v>Uptake Trunk</v>
      </c>
      <c r="D303" s="253" t="str">
        <f>VLOOKUP($B303,'[4]Data - DO NOT PRINT'!$B$3:$G$297,3,FALSE)</f>
        <v>Main Deck</v>
      </c>
      <c r="E303" s="253">
        <f>VLOOKUP($B303,'[4]Data - DO NOT PRINT'!$B$3:$G$297,4,FALSE)</f>
        <v>11</v>
      </c>
      <c r="F303" s="253">
        <f>VLOOKUP($B303,'[4]Data - DO NOT PRINT'!$B$3:$G$297,5,FALSE)</f>
        <v>100.72</v>
      </c>
      <c r="G303" s="254" t="str">
        <f>IF(VLOOKUP($B303,'[4]Data - DO NOT PRINT'!$B$3:$G$297,6,FALSE)=0,"",VLOOKUP($B303,'[4]Data - DO NOT PRINT'!$B$3:$G$297,6,FALSE))</f>
        <v>04 Level</v>
      </c>
      <c r="H303" s="246"/>
      <c r="I303" s="247"/>
      <c r="J303" s="246"/>
      <c r="K303" s="246"/>
      <c r="L303" s="246"/>
      <c r="M303" s="246"/>
      <c r="N303" s="246"/>
    </row>
    <row r="304" spans="1:14" s="248" customFormat="1" ht="15" customHeight="1" thickBot="1">
      <c r="A304" s="274">
        <v>4.1440099999999997</v>
      </c>
      <c r="B304" s="258" t="s">
        <v>2799</v>
      </c>
      <c r="C304" s="259" t="str">
        <f>VLOOKUP($B304,'[4]Data - DO NOT PRINT'!$B$3:$G$297,2,FALSE)</f>
        <v>Turbine Start Room</v>
      </c>
      <c r="D304" s="260" t="str">
        <f>VLOOKUP($B304,'[4]Data - DO NOT PRINT'!$B$3:$G$297,3,FALSE)</f>
        <v>1st Platform</v>
      </c>
      <c r="E304" s="260">
        <f>VLOOKUP($B304,'[4]Data - DO NOT PRINT'!$B$3:$G$297,4,FALSE)</f>
        <v>29.07</v>
      </c>
      <c r="F304" s="260">
        <f>VLOOKUP($B304,'[4]Data - DO NOT PRINT'!$B$3:$G$297,5,FALSE)</f>
        <v>85.64</v>
      </c>
      <c r="G304" s="261" t="str">
        <f>IF(VLOOKUP($B304,'[4]Data - DO NOT PRINT'!$B$3:$G$297,6,FALSE)=0,"",VLOOKUP($B304,'[4]Data - DO NOT PRINT'!$B$3:$G$297,6,FALSE))</f>
        <v/>
      </c>
      <c r="H304" s="246"/>
      <c r="I304" s="247"/>
      <c r="J304" s="246"/>
      <c r="K304" s="246"/>
      <c r="L304" s="246"/>
      <c r="M304" s="246"/>
      <c r="N304" s="246"/>
    </row>
    <row r="305" spans="1:14" s="248" customFormat="1" ht="15" customHeight="1" thickBot="1">
      <c r="A305" s="262"/>
      <c r="B305" s="431" t="s">
        <v>2800</v>
      </c>
      <c r="C305" s="431"/>
      <c r="D305" s="432"/>
      <c r="E305" s="263">
        <f>SUBTOTAL(9,E297:E304)</f>
        <v>240.69</v>
      </c>
      <c r="F305" s="263">
        <f>SUBTOTAL(9,F297:F304)</f>
        <v>1644.2500000000005</v>
      </c>
      <c r="G305" s="264"/>
      <c r="H305" s="246"/>
      <c r="I305" s="265"/>
      <c r="J305" s="266"/>
      <c r="K305" s="267"/>
      <c r="L305" s="268"/>
      <c r="M305" s="246"/>
      <c r="N305" s="246"/>
    </row>
    <row r="306" spans="1:14" s="248" customFormat="1" ht="15" customHeight="1">
      <c r="A306" s="269">
        <v>4.1610100000000001</v>
      </c>
      <c r="B306" s="270" t="s">
        <v>2801</v>
      </c>
      <c r="C306" s="271" t="str">
        <f>VLOOKUP($B306,'[4]Data - DO NOT PRINT'!$B$3:$G$297,2,FALSE)</f>
        <v>Main Machinery Room</v>
      </c>
      <c r="D306" s="272" t="str">
        <f>VLOOKUP($B306,'[4]Data - DO NOT PRINT'!$B$3:$G$297,3,FALSE)</f>
        <v>Tank Top</v>
      </c>
      <c r="E306" s="272">
        <f>VLOOKUP($B306,'[4]Data - DO NOT PRINT'!$B$3:$G$297,4,FALSE)</f>
        <v>189.79</v>
      </c>
      <c r="F306" s="272">
        <f>VLOOKUP($B306,'[4]Data - DO NOT PRINT'!$B$3:$G$297,5,FALSE)</f>
        <v>1155.7</v>
      </c>
      <c r="G306" s="273" t="str">
        <f>IF(VLOOKUP($B306,'[4]Data - DO NOT PRINT'!$B$3:$G$297,6,FALSE)=0,"",VLOOKUP($B306,'[4]Data - DO NOT PRINT'!$B$3:$G$297,6,FALSE))</f>
        <v>2nd Plat; LCS 5 - 13 Only</v>
      </c>
      <c r="H306" s="246"/>
      <c r="I306" s="247"/>
      <c r="J306" s="246"/>
      <c r="K306" s="246"/>
      <c r="L306" s="246"/>
      <c r="M306" s="246"/>
      <c r="N306" s="246"/>
    </row>
    <row r="307" spans="1:14" s="248" customFormat="1" ht="15" customHeight="1" thickBot="1">
      <c r="A307" s="257">
        <v>4.1610100000000001</v>
      </c>
      <c r="B307" s="258" t="s">
        <v>2801</v>
      </c>
      <c r="C307" s="252" t="str">
        <f>VLOOKUP($B307,'[4]Data - DO NOT PRINT'!$B$300:$G$305,2,FALSE)</f>
        <v>Main Machinery Room</v>
      </c>
      <c r="D307" s="253" t="str">
        <f>VLOOKUP($B307,'[4]Data - DO NOT PRINT'!$B$300:$G$305,3,FALSE)</f>
        <v>Tank Top</v>
      </c>
      <c r="E307" s="253">
        <f>VLOOKUP($B307,'[4]Data - DO NOT PRINT'!$B$300:$G$305,4,FALSE)</f>
        <v>189.79</v>
      </c>
      <c r="F307" s="253">
        <f>VLOOKUP($B307,'[4]Data - DO NOT PRINT'!$B$300:$G$305,5,FALSE)</f>
        <v>1165.7699999999995</v>
      </c>
      <c r="G307" s="254" t="str">
        <f>IF(VLOOKUP($B307,'[4]Data - DO NOT PRINT'!$B$300:$G$305,6,FALSE)=0,"",VLOOKUP($B307,'[4]Data - DO NOT PRINT'!$B$300:$G$305,6,FALSE))</f>
        <v>2nd Plat; LCS 15AF</v>
      </c>
      <c r="H307" s="246"/>
      <c r="I307" s="247" t="s">
        <v>2715</v>
      </c>
      <c r="J307" s="246"/>
      <c r="K307" s="246"/>
      <c r="L307" s="246"/>
      <c r="M307" s="246"/>
      <c r="N307" s="246"/>
    </row>
    <row r="308" spans="1:14" s="248" customFormat="1" ht="15" customHeight="1" thickBot="1">
      <c r="A308" s="262"/>
      <c r="B308" s="431" t="s">
        <v>2802</v>
      </c>
      <c r="C308" s="431"/>
      <c r="D308" s="432"/>
      <c r="E308" s="263">
        <f>SUBTOTAL(9,E306:E307)</f>
        <v>379.58</v>
      </c>
      <c r="F308" s="263">
        <f>SUBTOTAL(9,F306:F307)</f>
        <v>2321.4699999999993</v>
      </c>
      <c r="G308" s="264"/>
      <c r="H308" s="246"/>
      <c r="I308" s="265"/>
      <c r="J308" s="266"/>
      <c r="K308" s="267"/>
      <c r="L308" s="268"/>
      <c r="M308" s="246"/>
      <c r="N308" s="246"/>
    </row>
    <row r="309" spans="1:14" s="248" customFormat="1" ht="15" customHeight="1" thickBot="1">
      <c r="A309" s="275">
        <v>4.2100099999999996</v>
      </c>
      <c r="B309" s="276" t="s">
        <v>2803</v>
      </c>
      <c r="C309" s="277" t="str">
        <f>VLOOKUP($B309,'[4]Data - DO NOT PRINT'!$B$3:$G$297,2,FALSE)</f>
        <v>Shaft Alley</v>
      </c>
      <c r="D309" s="278" t="str">
        <f>VLOOKUP($B309,'[4]Data - DO NOT PRINT'!$B$3:$G$297,3,FALSE)</f>
        <v>Hold</v>
      </c>
      <c r="E309" s="278">
        <f>VLOOKUP($B309,'[4]Data - DO NOT PRINT'!$B$3:$G$297,4,FALSE)</f>
        <v>147.28</v>
      </c>
      <c r="F309" s="278">
        <f>VLOOKUP($B309,'[4]Data - DO NOT PRINT'!$B$3:$G$297,5,FALSE)</f>
        <v>441.52</v>
      </c>
      <c r="G309" s="279" t="str">
        <f>IF(VLOOKUP($B309,'[4]Data - DO NOT PRINT'!$B$3:$G$297,6,FALSE)=0,"",VLOOKUP($B309,'[4]Data - DO NOT PRINT'!$B$3:$G$297,6,FALSE))</f>
        <v>Tank Top</v>
      </c>
      <c r="H309" s="246"/>
      <c r="I309" s="247"/>
      <c r="J309" s="246"/>
      <c r="K309" s="246"/>
      <c r="L309" s="246"/>
      <c r="M309" s="246"/>
      <c r="N309" s="246"/>
    </row>
    <row r="310" spans="1:14" s="248" customFormat="1" ht="15" customHeight="1" thickBot="1">
      <c r="A310" s="262"/>
      <c r="B310" s="431" t="s">
        <v>2804</v>
      </c>
      <c r="C310" s="431"/>
      <c r="D310" s="432"/>
      <c r="E310" s="263">
        <f>SUBTOTAL(9,E309:E309)</f>
        <v>147.28</v>
      </c>
      <c r="F310" s="263">
        <f>SUBTOTAL(9,F309:F309)</f>
        <v>441.52</v>
      </c>
      <c r="G310" s="264"/>
      <c r="H310" s="246"/>
      <c r="I310" s="265"/>
      <c r="J310" s="266"/>
      <c r="K310" s="267"/>
      <c r="L310" s="268"/>
      <c r="M310" s="246"/>
      <c r="N310" s="246"/>
    </row>
    <row r="311" spans="1:14" s="248" customFormat="1" ht="15" customHeight="1" thickBot="1">
      <c r="A311" s="275">
        <v>4.2300000000000004</v>
      </c>
      <c r="B311" s="276" t="s">
        <v>2805</v>
      </c>
      <c r="C311" s="277" t="str">
        <f>VLOOKUP($B311,'[4]Data - DO NOT PRINT'!$B$3:$G$297,2,FALSE)</f>
        <v>Water Jet Machinery Room</v>
      </c>
      <c r="D311" s="278" t="str">
        <f>VLOOKUP($B311,'[4]Data - DO NOT PRINT'!$B$3:$G$297,3,FALSE)</f>
        <v>Hold</v>
      </c>
      <c r="E311" s="278">
        <f>VLOOKUP($B311,'[4]Data - DO NOT PRINT'!$B$3:$G$297,4,FALSE)</f>
        <v>21.19</v>
      </c>
      <c r="F311" s="278">
        <f>VLOOKUP($B311,'[4]Data - DO NOT PRINT'!$B$3:$G$297,5,FALSE)</f>
        <v>383.35</v>
      </c>
      <c r="G311" s="279" t="str">
        <f>IF(VLOOKUP($B311,'[4]Data - DO NOT PRINT'!$B$3:$G$297,6,FALSE)=0,"",VLOOKUP($B311,'[4]Data - DO NOT PRINT'!$B$3:$G$297,6,FALSE))</f>
        <v>2.350 m ABL Grating; Tank Top</v>
      </c>
      <c r="H311" s="246"/>
      <c r="I311" s="247"/>
      <c r="J311" s="246"/>
      <c r="K311" s="246"/>
      <c r="L311" s="246"/>
      <c r="M311" s="246"/>
      <c r="N311" s="246"/>
    </row>
    <row r="312" spans="1:14" s="248" customFormat="1" ht="15" customHeight="1" thickBot="1">
      <c r="A312" s="262"/>
      <c r="B312" s="431" t="s">
        <v>2806</v>
      </c>
      <c r="C312" s="431"/>
      <c r="D312" s="432"/>
      <c r="E312" s="263">
        <f>SUBTOTAL(9,E311)</f>
        <v>21.19</v>
      </c>
      <c r="F312" s="263">
        <f>SUBTOTAL(9,F311)</f>
        <v>383.35</v>
      </c>
      <c r="G312" s="264"/>
      <c r="H312" s="246"/>
      <c r="I312" s="265"/>
      <c r="J312" s="266"/>
      <c r="K312" s="267"/>
      <c r="L312" s="268"/>
      <c r="M312" s="246"/>
      <c r="N312" s="246"/>
    </row>
    <row r="313" spans="1:14" s="248" customFormat="1" ht="15" customHeight="1">
      <c r="A313" s="289">
        <v>4.3100100000000001</v>
      </c>
      <c r="B313" s="290" t="s">
        <v>2807</v>
      </c>
      <c r="C313" s="271" t="str">
        <f>VLOOKUP($B313,'[4]Data - DO NOT PRINT'!$B$3:$G$297,2,FALSE)</f>
        <v>Auxiliary Machinery Room No. 1</v>
      </c>
      <c r="D313" s="272" t="str">
        <f>VLOOKUP($B313,'[4]Data - DO NOT PRINT'!$B$3:$G$297,3,FALSE)</f>
        <v>Tank Top</v>
      </c>
      <c r="E313" s="272">
        <f>VLOOKUP($B313,'[4]Data - DO NOT PRINT'!$B$3:$G$297,4,FALSE)</f>
        <v>36.89</v>
      </c>
      <c r="F313" s="272">
        <f>VLOOKUP($B313,'[4]Data - DO NOT PRINT'!$B$3:$G$297,5,FALSE)</f>
        <v>292.75</v>
      </c>
      <c r="G313" s="273" t="str">
        <f>IF(VLOOKUP($B313,'[4]Data - DO NOT PRINT'!$B$3:$G$297,6,FALSE)=0,"",VLOOKUP($B313,'[4]Data - DO NOT PRINT'!$B$3:$G$297,6,FALSE))</f>
        <v/>
      </c>
      <c r="H313" s="246"/>
      <c r="I313" s="247"/>
      <c r="J313" s="246"/>
      <c r="K313" s="246"/>
      <c r="L313" s="246"/>
      <c r="M313" s="246"/>
      <c r="N313" s="246"/>
    </row>
    <row r="314" spans="1:14" s="248" customFormat="1" ht="15" customHeight="1" thickBot="1">
      <c r="A314" s="257">
        <v>4.3100100000000001</v>
      </c>
      <c r="B314" s="258" t="s">
        <v>2808</v>
      </c>
      <c r="C314" s="259" t="str">
        <f>VLOOKUP($B314,'[4]Data - DO NOT PRINT'!$B$3:$G$297,2,FALSE)</f>
        <v>Auxiliary Machinery Room No. 2</v>
      </c>
      <c r="D314" s="260" t="str">
        <f>VLOOKUP($B314,'[4]Data - DO NOT PRINT'!$B$3:$G$297,3,FALSE)</f>
        <v>Tank Top</v>
      </c>
      <c r="E314" s="260">
        <f>VLOOKUP($B314,'[4]Data - DO NOT PRINT'!$B$3:$G$297,4,FALSE)</f>
        <v>70.39</v>
      </c>
      <c r="F314" s="260">
        <f>VLOOKUP($B314,'[4]Data - DO NOT PRINT'!$B$3:$G$297,5,FALSE)</f>
        <v>457.43</v>
      </c>
      <c r="G314" s="261" t="str">
        <f>IF(VLOOKUP($B314,'[4]Data - DO NOT PRINT'!$B$3:$G$297,6,FALSE)=0,"",VLOOKUP($B314,'[4]Data - DO NOT PRINT'!$B$3:$G$297,6,FALSE))</f>
        <v/>
      </c>
      <c r="H314" s="246"/>
      <c r="I314" s="247"/>
      <c r="J314" s="246"/>
      <c r="K314" s="246"/>
      <c r="L314" s="246"/>
      <c r="M314" s="246"/>
      <c r="N314" s="246"/>
    </row>
    <row r="315" spans="1:14" s="248" customFormat="1" ht="15" customHeight="1" thickBot="1">
      <c r="A315" s="262"/>
      <c r="B315" s="431" t="s">
        <v>2809</v>
      </c>
      <c r="C315" s="431"/>
      <c r="D315" s="432"/>
      <c r="E315" s="263">
        <f>SUBTOTAL(9,E313:E314)</f>
        <v>107.28</v>
      </c>
      <c r="F315" s="263">
        <f>SUBTOTAL(9,F313:F314)</f>
        <v>750.18000000000006</v>
      </c>
      <c r="G315" s="264"/>
      <c r="H315" s="246"/>
      <c r="I315" s="265"/>
      <c r="J315" s="266"/>
      <c r="K315" s="267"/>
      <c r="L315" s="268"/>
      <c r="M315" s="246"/>
      <c r="N315" s="246"/>
    </row>
    <row r="316" spans="1:14" s="248" customFormat="1" ht="15" customHeight="1">
      <c r="A316" s="269">
        <v>4.3314019999999998</v>
      </c>
      <c r="B316" s="270" t="s">
        <v>2810</v>
      </c>
      <c r="C316" s="271" t="str">
        <f>VLOOKUP($B316,'[4]Data - DO NOT PRINT'!$B$3:$G$297,2,FALSE)</f>
        <v>Power Conversion Room No. 1</v>
      </c>
      <c r="D316" s="272" t="str">
        <f>VLOOKUP($B316,'[4]Data - DO NOT PRINT'!$B$3:$G$297,3,FALSE)</f>
        <v>Main Deck</v>
      </c>
      <c r="E316" s="272">
        <f>VLOOKUP($B316,'[4]Data - DO NOT PRINT'!$B$3:$G$297,4,FALSE)</f>
        <v>5.97</v>
      </c>
      <c r="F316" s="272">
        <f>VLOOKUP($B316,'[4]Data - DO NOT PRINT'!$B$3:$G$297,5,FALSE)</f>
        <v>16.72</v>
      </c>
      <c r="G316" s="273" t="str">
        <f>IF(VLOOKUP($B316,'[4]Data - DO NOT PRINT'!$B$3:$G$297,6,FALSE)=0,"",VLOOKUP($B316,'[4]Data - DO NOT PRINT'!$B$3:$G$297,6,FALSE))</f>
        <v/>
      </c>
      <c r="H316" s="246"/>
      <c r="I316" s="247"/>
      <c r="J316" s="246"/>
      <c r="K316" s="246"/>
      <c r="L316" s="246"/>
      <c r="M316" s="246"/>
      <c r="N316" s="246"/>
    </row>
    <row r="317" spans="1:14" s="248" customFormat="1" ht="15" customHeight="1">
      <c r="A317" s="250">
        <v>4.3315010000000003</v>
      </c>
      <c r="B317" s="251" t="s">
        <v>2811</v>
      </c>
      <c r="C317" s="252" t="str">
        <f>VLOOKUP($B317,'[4]Data - DO NOT PRINT'!$B$3:$G$297,2,FALSE)</f>
        <v>Shore Connection Station</v>
      </c>
      <c r="D317" s="253" t="str">
        <f>VLOOKUP($B317,'[4]Data - DO NOT PRINT'!$B$3:$G$297,3,FALSE)</f>
        <v>02 Level</v>
      </c>
      <c r="E317" s="253">
        <f>VLOOKUP($B317,'[4]Data - DO NOT PRINT'!$B$3:$G$297,4,FALSE)</f>
        <v>2.86</v>
      </c>
      <c r="F317" s="253">
        <f>VLOOKUP($B317,'[4]Data - DO NOT PRINT'!$B$3:$G$297,5,FALSE)</f>
        <v>6.09</v>
      </c>
      <c r="G317" s="254" t="str">
        <f>IF(VLOOKUP($B317,'[4]Data - DO NOT PRINT'!$B$3:$G$297,6,FALSE)=0,"",VLOOKUP($B317,'[4]Data - DO NOT PRINT'!$B$3:$G$297,6,FALSE))</f>
        <v/>
      </c>
      <c r="H317" s="246"/>
      <c r="I317" s="247"/>
      <c r="J317" s="246"/>
      <c r="K317" s="246"/>
      <c r="L317" s="246"/>
      <c r="M317" s="246"/>
      <c r="N317" s="246"/>
    </row>
    <row r="318" spans="1:14" s="248" customFormat="1" ht="15" customHeight="1" thickBot="1">
      <c r="A318" s="257">
        <v>4.3322010000000004</v>
      </c>
      <c r="B318" s="258" t="s">
        <v>2812</v>
      </c>
      <c r="C318" s="259" t="str">
        <f>VLOOKUP($B318,'[4]Data - DO NOT PRINT'!$B$3:$G$297,2,FALSE)</f>
        <v>Electronic Load Center Room</v>
      </c>
      <c r="D318" s="260" t="str">
        <f>VLOOKUP($B318,'[4]Data - DO NOT PRINT'!$B$3:$G$297,3,FALSE)</f>
        <v>Main Deck</v>
      </c>
      <c r="E318" s="260">
        <f>VLOOKUP($B318,'[4]Data - DO NOT PRINT'!$B$3:$G$297,4,FALSE)</f>
        <v>12.17</v>
      </c>
      <c r="F318" s="260">
        <f>VLOOKUP($B318,'[4]Data - DO NOT PRINT'!$B$3:$G$297,5,FALSE)</f>
        <v>31.95</v>
      </c>
      <c r="G318" s="261" t="str">
        <f>IF(VLOOKUP($B318,'[4]Data - DO NOT PRINT'!$B$3:$G$297,6,FALSE)=0,"",VLOOKUP($B318,'[4]Data - DO NOT PRINT'!$B$3:$G$297,6,FALSE))</f>
        <v/>
      </c>
      <c r="H318" s="246"/>
      <c r="I318" s="247"/>
      <c r="J318" s="246"/>
      <c r="K318" s="246"/>
      <c r="L318" s="246"/>
      <c r="M318" s="246"/>
      <c r="N318" s="246"/>
    </row>
    <row r="319" spans="1:14" s="248" customFormat="1" ht="15" customHeight="1" thickBot="1">
      <c r="A319" s="262"/>
      <c r="B319" s="431" t="s">
        <v>2813</v>
      </c>
      <c r="C319" s="431"/>
      <c r="D319" s="432"/>
      <c r="E319" s="263">
        <f>SUBTOTAL(9,E316:E318)</f>
        <v>21</v>
      </c>
      <c r="F319" s="263">
        <f>SUBTOTAL(9,F316:F318)</f>
        <v>54.76</v>
      </c>
      <c r="G319" s="264"/>
      <c r="H319" s="246"/>
      <c r="I319" s="265"/>
      <c r="J319" s="266"/>
      <c r="K319" s="267"/>
      <c r="L319" s="268"/>
      <c r="M319" s="246"/>
      <c r="N319" s="246"/>
    </row>
    <row r="320" spans="1:14" s="248" customFormat="1" ht="15" customHeight="1">
      <c r="A320" s="269">
        <v>4.3410399999999996</v>
      </c>
      <c r="B320" s="270" t="s">
        <v>2814</v>
      </c>
      <c r="C320" s="271" t="str">
        <f>VLOOKUP($B320,'[4]Data - DO NOT PRINT'!$B$3:$G$297,2,FALSE)</f>
        <v>Sanitary Equipment Room</v>
      </c>
      <c r="D320" s="272" t="str">
        <f>VLOOKUP($B320,'[4]Data - DO NOT PRINT'!$B$3:$G$297,3,FALSE)</f>
        <v>Tank Top</v>
      </c>
      <c r="E320" s="272">
        <f>VLOOKUP($B320,'[4]Data - DO NOT PRINT'!$B$3:$G$297,4,FALSE)</f>
        <v>14.786</v>
      </c>
      <c r="F320" s="272">
        <f>VLOOKUP($B320,'[4]Data - DO NOT PRINT'!$B$3:$G$297,5,FALSE)</f>
        <v>77.25</v>
      </c>
      <c r="G320" s="273" t="str">
        <f>IF(VLOOKUP($B320,'[4]Data - DO NOT PRINT'!$B$3:$G$297,6,FALSE)=0,"",VLOOKUP($B320,'[4]Data - DO NOT PRINT'!$B$3:$G$297,6,FALSE))</f>
        <v/>
      </c>
      <c r="H320" s="246"/>
      <c r="I320" s="247"/>
      <c r="J320" s="246"/>
      <c r="K320" s="246"/>
      <c r="L320" s="246"/>
      <c r="M320" s="246"/>
      <c r="N320" s="246"/>
    </row>
    <row r="321" spans="1:14" s="248" customFormat="1" ht="15" customHeight="1" thickBot="1">
      <c r="A321" s="257">
        <v>4.3420199999999998</v>
      </c>
      <c r="B321" s="258" t="s">
        <v>2815</v>
      </c>
      <c r="C321" s="259" t="str">
        <f>VLOOKUP($B321,'[4]Data - DO NOT PRINT'!$B$3:$G$297,2,FALSE)</f>
        <v>Trash Compactor Room/Storeroom</v>
      </c>
      <c r="D321" s="260" t="str">
        <f>VLOOKUP($B321,'[4]Data - DO NOT PRINT'!$B$3:$G$297,3,FALSE)</f>
        <v>1st Platform</v>
      </c>
      <c r="E321" s="260">
        <f>VLOOKUP($B321,'[4]Data - DO NOT PRINT'!$B$3:$G$297,4,FALSE)</f>
        <v>9.92</v>
      </c>
      <c r="F321" s="260">
        <f>VLOOKUP($B321,'[4]Data - DO NOT PRINT'!$B$3:$G$297,5,FALSE)</f>
        <v>28.35</v>
      </c>
      <c r="G321" s="261" t="str">
        <f>IF(VLOOKUP($B321,'[4]Data - DO NOT PRINT'!$B$3:$G$297,6,FALSE)=0,"",VLOOKUP($B321,'[4]Data - DO NOT PRINT'!$B$3:$G$297,6,FALSE))</f>
        <v/>
      </c>
      <c r="H321" s="246"/>
      <c r="I321" s="247"/>
      <c r="J321" s="246"/>
      <c r="K321" s="246"/>
      <c r="L321" s="246"/>
      <c r="M321" s="246"/>
      <c r="N321" s="246"/>
    </row>
    <row r="322" spans="1:14" s="248" customFormat="1" ht="15" customHeight="1" thickBot="1">
      <c r="A322" s="262"/>
      <c r="B322" s="431" t="s">
        <v>2816</v>
      </c>
      <c r="C322" s="431"/>
      <c r="D322" s="432"/>
      <c r="E322" s="263">
        <f>SUBTOTAL(9,E320:E321)</f>
        <v>24.706</v>
      </c>
      <c r="F322" s="263">
        <f>SUBTOTAL(9,F320:F321)</f>
        <v>105.6</v>
      </c>
      <c r="G322" s="264"/>
      <c r="H322" s="246"/>
      <c r="I322" s="265"/>
      <c r="J322" s="266"/>
      <c r="K322" s="267"/>
      <c r="L322" s="268"/>
      <c r="M322" s="246"/>
      <c r="N322" s="246"/>
    </row>
    <row r="323" spans="1:14" s="248" customFormat="1" ht="15" customHeight="1" thickBot="1">
      <c r="A323" s="275">
        <v>4.3500199999999998</v>
      </c>
      <c r="B323" s="276" t="s">
        <v>2817</v>
      </c>
      <c r="C323" s="277" t="str">
        <f>VLOOKUP($B323,'[4]Data - DO NOT PRINT'!$B$3:$G$297,2,FALSE)</f>
        <v>Pump Room</v>
      </c>
      <c r="D323" s="278" t="str">
        <f>VLOOKUP($B323,'[4]Data - DO NOT PRINT'!$B$3:$G$297,3,FALSE)</f>
        <v>Tank Top</v>
      </c>
      <c r="E323" s="278">
        <f>VLOOKUP($B323,'[4]Data - DO NOT PRINT'!$B$3:$G$297,4,FALSE)</f>
        <v>20.9</v>
      </c>
      <c r="F323" s="278">
        <f>VLOOKUP($B323,'[4]Data - DO NOT PRINT'!$B$3:$G$297,5,FALSE)</f>
        <v>68.260000000000005</v>
      </c>
      <c r="G323" s="279" t="str">
        <f>IF(VLOOKUP($B323,'[4]Data - DO NOT PRINT'!$B$3:$G$297,6,FALSE)=0,"",VLOOKUP($B323,'[4]Data - DO NOT PRINT'!$B$3:$G$297,6,FALSE))</f>
        <v/>
      </c>
      <c r="H323" s="246"/>
      <c r="I323" s="247"/>
      <c r="J323" s="246"/>
      <c r="K323" s="246"/>
      <c r="L323" s="246"/>
      <c r="M323" s="246"/>
      <c r="N323" s="246"/>
    </row>
    <row r="324" spans="1:14" s="248" customFormat="1" ht="15" customHeight="1" thickBot="1">
      <c r="A324" s="262"/>
      <c r="B324" s="431" t="s">
        <v>2818</v>
      </c>
      <c r="C324" s="431"/>
      <c r="D324" s="432"/>
      <c r="E324" s="263">
        <f>SUBTOTAL(9,E323:E323)</f>
        <v>20.9</v>
      </c>
      <c r="F324" s="263">
        <f>SUBTOTAL(9,F323:F323)</f>
        <v>68.260000000000005</v>
      </c>
      <c r="G324" s="264"/>
      <c r="H324" s="246"/>
      <c r="I324" s="265"/>
      <c r="J324" s="266"/>
      <c r="K324" s="267"/>
      <c r="L324" s="268"/>
      <c r="M324" s="246"/>
      <c r="N324" s="246"/>
    </row>
    <row r="325" spans="1:14" s="248" customFormat="1" ht="15" customHeight="1">
      <c r="A325" s="269">
        <v>4.3610100000000003</v>
      </c>
      <c r="B325" s="270" t="s">
        <v>2819</v>
      </c>
      <c r="C325" s="271" t="str">
        <f>VLOOKUP($B325,'[4]Data - DO NOT PRINT'!$B$3:$G$297,2,FALSE)</f>
        <v>Intake Trunk</v>
      </c>
      <c r="D325" s="272" t="str">
        <f>VLOOKUP($B325,'[4]Data - DO NOT PRINT'!$B$3:$G$297,3,FALSE)</f>
        <v>Main Deck</v>
      </c>
      <c r="E325" s="272">
        <f>VLOOKUP($B325,'[4]Data - DO NOT PRINT'!$B$3:$G$297,4,FALSE)</f>
        <v>2.4</v>
      </c>
      <c r="F325" s="272">
        <f>VLOOKUP($B325,'[4]Data - DO NOT PRINT'!$B$3:$G$297,5,FALSE)</f>
        <v>5.66</v>
      </c>
      <c r="G325" s="273" t="str">
        <f>IF(VLOOKUP($B325,'[4]Data - DO NOT PRINT'!$B$3:$G$297,6,FALSE)=0,"",VLOOKUP($B325,'[4]Data - DO NOT PRINT'!$B$3:$G$297,6,FALSE))</f>
        <v>01 Level</v>
      </c>
      <c r="H325" s="246"/>
      <c r="I325" s="247"/>
      <c r="J325" s="246"/>
      <c r="K325" s="246"/>
      <c r="L325" s="246"/>
      <c r="M325" s="246"/>
      <c r="N325" s="246"/>
    </row>
    <row r="326" spans="1:14" s="248" customFormat="1" ht="15" customHeight="1">
      <c r="A326" s="250">
        <v>4.3610100000000003</v>
      </c>
      <c r="B326" s="251" t="s">
        <v>2820</v>
      </c>
      <c r="C326" s="252" t="str">
        <f>VLOOKUP($B326,'[4]Data - DO NOT PRINT'!$B$3:$G$297,2,FALSE)</f>
        <v>Intake Trunk</v>
      </c>
      <c r="D326" s="253" t="str">
        <f>VLOOKUP($B326,'[4]Data - DO NOT PRINT'!$B$3:$G$297,3,FALSE)</f>
        <v>Main Deck</v>
      </c>
      <c r="E326" s="253">
        <f>VLOOKUP($B326,'[4]Data - DO NOT PRINT'!$B$3:$G$297,4,FALSE)</f>
        <v>1.34</v>
      </c>
      <c r="F326" s="253">
        <f>VLOOKUP($B326,'[4]Data - DO NOT PRINT'!$B$3:$G$297,5,FALSE)</f>
        <v>2.8</v>
      </c>
      <c r="G326" s="254" t="str">
        <f>IF(VLOOKUP($B326,'[4]Data - DO NOT PRINT'!$B$3:$G$297,6,FALSE)=0,"",VLOOKUP($B326,'[4]Data - DO NOT PRINT'!$B$3:$G$297,6,FALSE))</f>
        <v>01 Level</v>
      </c>
      <c r="H326" s="246"/>
      <c r="I326" s="247"/>
      <c r="J326" s="246"/>
      <c r="K326" s="246"/>
      <c r="L326" s="246"/>
      <c r="M326" s="246"/>
      <c r="N326" s="246"/>
    </row>
    <row r="327" spans="1:14" s="284" customFormat="1" ht="15" customHeight="1">
      <c r="A327" s="250">
        <v>4.3610300000000004</v>
      </c>
      <c r="B327" s="251" t="s">
        <v>2821</v>
      </c>
      <c r="C327" s="252" t="str">
        <f>VLOOKUP($B327,'[4]Data - DO NOT PRINT'!$B$3:$G$297,2,FALSE)</f>
        <v>Vent Plenum</v>
      </c>
      <c r="D327" s="253" t="str">
        <f>VLOOKUP($B327,'[4]Data - DO NOT PRINT'!$B$3:$G$297,3,FALSE)</f>
        <v>02 Level</v>
      </c>
      <c r="E327" s="253">
        <f>VLOOKUP($B327,'[4]Data - DO NOT PRINT'!$B$3:$G$297,4,FALSE)</f>
        <v>7.43</v>
      </c>
      <c r="F327" s="253">
        <f>VLOOKUP($B327,'[4]Data - DO NOT PRINT'!$B$3:$G$297,5,FALSE)</f>
        <v>14.49</v>
      </c>
      <c r="G327" s="254" t="str">
        <f>IF(VLOOKUP($B327,'[4]Data - DO NOT PRINT'!$B$3:$G$297,6,FALSE)=0,"",VLOOKUP($B327,'[4]Data - DO NOT PRINT'!$B$3:$G$297,6,FALSE))</f>
        <v/>
      </c>
      <c r="H327" s="282"/>
      <c r="I327" s="283"/>
      <c r="J327" s="282"/>
      <c r="K327" s="282"/>
      <c r="L327" s="282"/>
      <c r="M327" s="282"/>
      <c r="N327" s="282"/>
    </row>
    <row r="328" spans="1:14" s="284" customFormat="1" ht="15" customHeight="1">
      <c r="A328" s="250">
        <v>4.3610300000000004</v>
      </c>
      <c r="B328" s="251" t="s">
        <v>2822</v>
      </c>
      <c r="C328" s="252" t="str">
        <f>VLOOKUP($B328,'[4]Data - DO NOT PRINT'!$B$3:$G$297,2,FALSE)</f>
        <v>Plenum</v>
      </c>
      <c r="D328" s="253" t="str">
        <f>VLOOKUP($B328,'[4]Data - DO NOT PRINT'!$B$3:$G$297,3,FALSE)</f>
        <v>01 Level</v>
      </c>
      <c r="E328" s="253">
        <f>VLOOKUP($B328,'[4]Data - DO NOT PRINT'!$B$3:$G$297,4,FALSE)</f>
        <v>1.1539999999999999</v>
      </c>
      <c r="F328" s="253">
        <f>VLOOKUP($B328,'[4]Data - DO NOT PRINT'!$B$3:$G$297,5,FALSE)</f>
        <v>3.92</v>
      </c>
      <c r="G328" s="254"/>
      <c r="H328" s="282"/>
      <c r="I328" s="283"/>
      <c r="J328" s="282"/>
      <c r="K328" s="282"/>
      <c r="L328" s="282"/>
      <c r="M328" s="282"/>
      <c r="N328" s="282"/>
    </row>
    <row r="329" spans="1:14" s="284" customFormat="1" ht="15" customHeight="1">
      <c r="A329" s="250">
        <v>4.3610300000000004</v>
      </c>
      <c r="B329" s="251" t="s">
        <v>2823</v>
      </c>
      <c r="C329" s="252" t="str">
        <f>VLOOKUP($B329,'[4]Data - DO NOT PRINT'!$B$3:$G$297,2,FALSE)</f>
        <v>Plenum</v>
      </c>
      <c r="D329" s="253" t="str">
        <f>VLOOKUP($B329,'[4]Data - DO NOT PRINT'!$B$3:$G$297,3,FALSE)</f>
        <v>01 Level</v>
      </c>
      <c r="E329" s="253">
        <f>VLOOKUP($B329,'[4]Data - DO NOT PRINT'!$B$3:$G$297,4,FALSE)</f>
        <v>0.89900000000000002</v>
      </c>
      <c r="F329" s="253">
        <f>VLOOKUP($B329,'[4]Data - DO NOT PRINT'!$B$3:$G$297,5,FALSE)</f>
        <v>3.06</v>
      </c>
      <c r="G329" s="254"/>
      <c r="H329" s="282"/>
      <c r="I329" s="283"/>
      <c r="J329" s="282"/>
      <c r="K329" s="282"/>
      <c r="L329" s="282"/>
      <c r="M329" s="282"/>
      <c r="N329" s="282"/>
    </row>
    <row r="330" spans="1:14" s="284" customFormat="1" ht="15" customHeight="1">
      <c r="A330" s="250">
        <v>4.3610300000000004</v>
      </c>
      <c r="B330" s="251" t="s">
        <v>2824</v>
      </c>
      <c r="C330" s="252" t="str">
        <f>VLOOKUP($B330,'[4]Data - DO NOT PRINT'!$B$3:$G$297,2,FALSE)</f>
        <v>Plenum</v>
      </c>
      <c r="D330" s="253" t="str">
        <f>VLOOKUP($B330,'[4]Data - DO NOT PRINT'!$B$3:$G$297,3,FALSE)</f>
        <v>01 Level</v>
      </c>
      <c r="E330" s="253">
        <f>VLOOKUP($B330,'[4]Data - DO NOT PRINT'!$B$3:$G$297,4,FALSE)</f>
        <v>1.849</v>
      </c>
      <c r="F330" s="253">
        <f>VLOOKUP($B330,'[4]Data - DO NOT PRINT'!$B$3:$G$297,5,FALSE)</f>
        <v>6.29</v>
      </c>
      <c r="G330" s="254"/>
      <c r="H330" s="282"/>
      <c r="I330" s="283"/>
      <c r="J330" s="282"/>
      <c r="K330" s="282"/>
      <c r="L330" s="282"/>
      <c r="M330" s="282"/>
      <c r="N330" s="282"/>
    </row>
    <row r="331" spans="1:14" s="284" customFormat="1" ht="15" customHeight="1">
      <c r="A331" s="250">
        <v>4.3610300000000004</v>
      </c>
      <c r="B331" s="251" t="s">
        <v>2825</v>
      </c>
      <c r="C331" s="252" t="str">
        <f>VLOOKUP($B331,'[4]Data - DO NOT PRINT'!$B$3:$G$297,2,FALSE)</f>
        <v>Plenum</v>
      </c>
      <c r="D331" s="253" t="str">
        <f>VLOOKUP($B331,'[4]Data - DO NOT PRINT'!$B$3:$G$297,3,FALSE)</f>
        <v>01 Level</v>
      </c>
      <c r="E331" s="253">
        <f>VLOOKUP($B331,'[4]Data - DO NOT PRINT'!$B$3:$G$297,4,FALSE)</f>
        <v>1.643</v>
      </c>
      <c r="F331" s="253">
        <f>VLOOKUP($B331,'[4]Data - DO NOT PRINT'!$B$3:$G$297,5,FALSE)</f>
        <v>5.59</v>
      </c>
      <c r="G331" s="254"/>
      <c r="H331" s="282"/>
      <c r="I331" s="283"/>
      <c r="J331" s="282"/>
      <c r="K331" s="282"/>
      <c r="L331" s="282"/>
      <c r="M331" s="282"/>
      <c r="N331" s="282"/>
    </row>
    <row r="332" spans="1:14" s="284" customFormat="1" ht="15" customHeight="1">
      <c r="A332" s="250">
        <v>4.3610300000000004</v>
      </c>
      <c r="B332" s="251" t="s">
        <v>2826</v>
      </c>
      <c r="C332" s="252" t="str">
        <f>VLOOKUP($B332,'[4]Data - DO NOT PRINT'!$B$3:$G$297,2,FALSE)</f>
        <v>Vent Plenum</v>
      </c>
      <c r="D332" s="253" t="str">
        <f>VLOOKUP($B332,'[4]Data - DO NOT PRINT'!$B$3:$G$297,3,FALSE)</f>
        <v>01 Level</v>
      </c>
      <c r="E332" s="253">
        <f>VLOOKUP($B332,'[4]Data - DO NOT PRINT'!$B$3:$G$297,4,FALSE)</f>
        <v>1.7</v>
      </c>
      <c r="F332" s="253">
        <f>VLOOKUP($B332,'[4]Data - DO NOT PRINT'!$B$3:$G$297,5,FALSE)</f>
        <v>3.01</v>
      </c>
      <c r="G332" s="254" t="str">
        <f>IF(VLOOKUP($B332,'[4]Data - DO NOT PRINT'!$B$3:$G$297,6,FALSE)=0,"",VLOOKUP($B332,'[4]Data - DO NOT PRINT'!$B$3:$G$297,6,FALSE))</f>
        <v/>
      </c>
      <c r="H332" s="282"/>
      <c r="I332" s="283"/>
      <c r="J332" s="282"/>
      <c r="K332" s="282"/>
      <c r="L332" s="282"/>
      <c r="M332" s="282"/>
      <c r="N332" s="282"/>
    </row>
    <row r="333" spans="1:14" s="284" customFormat="1" ht="15" customHeight="1">
      <c r="A333" s="250">
        <v>4.3610300000000004</v>
      </c>
      <c r="B333" s="251" t="s">
        <v>2827</v>
      </c>
      <c r="C333" s="252" t="str">
        <f>VLOOKUP($B333,'[4]Data - DO NOT PRINT'!$B$3:$G$297,2,FALSE)</f>
        <v>Vent Plenum</v>
      </c>
      <c r="D333" s="253" t="str">
        <f>VLOOKUP($B333,'[4]Data - DO NOT PRINT'!$B$3:$G$297,3,FALSE)</f>
        <v>01 Level</v>
      </c>
      <c r="E333" s="253">
        <f>VLOOKUP($B333,'[4]Data - DO NOT PRINT'!$B$3:$G$297,4,FALSE)</f>
        <v>1</v>
      </c>
      <c r="F333" s="253">
        <f>VLOOKUP($B333,'[4]Data - DO NOT PRINT'!$B$3:$G$297,5,FALSE)</f>
        <v>1.1599999999999999</v>
      </c>
      <c r="G333" s="254" t="str">
        <f>IF(VLOOKUP($B333,'[4]Data - DO NOT PRINT'!$B$3:$G$297,6,FALSE)=0,"",VLOOKUP($B333,'[4]Data - DO NOT PRINT'!$B$3:$G$297,6,FALSE))</f>
        <v/>
      </c>
      <c r="H333" s="282"/>
      <c r="I333" s="283"/>
      <c r="J333" s="282"/>
      <c r="K333" s="282"/>
      <c r="L333" s="282"/>
      <c r="M333" s="282"/>
      <c r="N333" s="282"/>
    </row>
    <row r="334" spans="1:14" s="284" customFormat="1" ht="15" customHeight="1">
      <c r="A334" s="250">
        <v>4.3610300000000004</v>
      </c>
      <c r="B334" s="251" t="s">
        <v>2828</v>
      </c>
      <c r="C334" s="252" t="str">
        <f>VLOOKUP($B334,'[4]Data - DO NOT PRINT'!$B$3:$G$297,2,FALSE)</f>
        <v>Vent Plenum</v>
      </c>
      <c r="D334" s="253" t="str">
        <f>VLOOKUP($B334,'[4]Data - DO NOT PRINT'!$B$3:$G$297,3,FALSE)</f>
        <v>01 Level</v>
      </c>
      <c r="E334" s="253">
        <f>VLOOKUP($B334,'[4]Data - DO NOT PRINT'!$B$3:$G$297,4,FALSE)</f>
        <v>2.15</v>
      </c>
      <c r="F334" s="253">
        <f>VLOOKUP($B334,'[4]Data - DO NOT PRINT'!$B$3:$G$297,5,FALSE)</f>
        <v>3.08</v>
      </c>
      <c r="G334" s="254" t="str">
        <f>IF(VLOOKUP($B334,'[4]Data - DO NOT PRINT'!$B$3:$G$297,6,FALSE)=0,"",VLOOKUP($B334,'[4]Data - DO NOT PRINT'!$B$3:$G$297,6,FALSE))</f>
        <v/>
      </c>
      <c r="H334" s="282"/>
      <c r="I334" s="283"/>
      <c r="J334" s="282"/>
      <c r="K334" s="282"/>
      <c r="L334" s="282"/>
      <c r="M334" s="282"/>
      <c r="N334" s="282"/>
    </row>
    <row r="335" spans="1:14" s="284" customFormat="1" ht="15" customHeight="1">
      <c r="A335" s="250">
        <v>4.3610300000000004</v>
      </c>
      <c r="B335" s="251" t="s">
        <v>2829</v>
      </c>
      <c r="C335" s="252" t="str">
        <f>VLOOKUP($B335,'[4]Data - DO NOT PRINT'!$B$3:$G$297,2,FALSE)</f>
        <v>Plenum</v>
      </c>
      <c r="D335" s="253" t="str">
        <f>VLOOKUP($B335,'[4]Data - DO NOT PRINT'!$B$3:$G$297,3,FALSE)</f>
        <v>Main Deck</v>
      </c>
      <c r="E335" s="253">
        <f>VLOOKUP($B335,'[4]Data - DO NOT PRINT'!$B$3:$G$297,4,FALSE)</f>
        <v>2.1800000000000002</v>
      </c>
      <c r="F335" s="253">
        <f>VLOOKUP($B335,'[4]Data - DO NOT PRINT'!$B$3:$G$297,5,FALSE)</f>
        <v>6.1040000000000001</v>
      </c>
      <c r="G335" s="254"/>
      <c r="H335" s="282"/>
      <c r="I335" s="283"/>
      <c r="J335" s="282"/>
      <c r="K335" s="282"/>
      <c r="L335" s="282"/>
      <c r="M335" s="282"/>
      <c r="N335" s="282"/>
    </row>
    <row r="336" spans="1:14" s="284" customFormat="1" ht="15" customHeight="1">
      <c r="A336" s="250">
        <v>4.3610300000000004</v>
      </c>
      <c r="B336" s="251" t="s">
        <v>2830</v>
      </c>
      <c r="C336" s="252" t="str">
        <f>VLOOKUP($B336,'[4]Data - DO NOT PRINT'!$B$3:$G$297,2,FALSE)</f>
        <v>Vent Plenum</v>
      </c>
      <c r="D336" s="253" t="str">
        <f>VLOOKUP($B336,'[4]Data - DO NOT PRINT'!$B$3:$G$297,3,FALSE)</f>
        <v>Main Deck</v>
      </c>
      <c r="E336" s="253">
        <f>VLOOKUP($B336,'[4]Data - DO NOT PRINT'!$B$3:$G$297,4,FALSE)</f>
        <v>1.77</v>
      </c>
      <c r="F336" s="253">
        <f>VLOOKUP($B336,'[4]Data - DO NOT PRINT'!$B$3:$G$297,5,FALSE)</f>
        <v>3.89</v>
      </c>
      <c r="G336" s="254" t="str">
        <f>IF(VLOOKUP($B336,'[4]Data - DO NOT PRINT'!$B$3:$G$297,6,FALSE)=0,"",VLOOKUP($B336,'[4]Data - DO NOT PRINT'!$B$3:$G$297,6,FALSE))</f>
        <v/>
      </c>
      <c r="H336" s="282"/>
      <c r="I336" s="283"/>
      <c r="J336" s="282"/>
      <c r="K336" s="282"/>
      <c r="L336" s="282"/>
      <c r="M336" s="282"/>
      <c r="N336" s="282"/>
    </row>
    <row r="337" spans="1:14" s="284" customFormat="1" ht="15" customHeight="1">
      <c r="A337" s="250">
        <v>4.3610300000000004</v>
      </c>
      <c r="B337" s="251" t="s">
        <v>2831</v>
      </c>
      <c r="C337" s="252" t="str">
        <f>VLOOKUP($B337,'[4]Data - DO NOT PRINT'!$B$3:$G$297,2,FALSE)</f>
        <v>Vent Plenum</v>
      </c>
      <c r="D337" s="253" t="str">
        <f>VLOOKUP($B337,'[4]Data - DO NOT PRINT'!$B$3:$G$297,3,FALSE)</f>
        <v>Main Deck</v>
      </c>
      <c r="E337" s="253">
        <f>VLOOKUP($B337,'[4]Data - DO NOT PRINT'!$B$3:$G$297,4,FALSE)</f>
        <v>5.72</v>
      </c>
      <c r="F337" s="253">
        <f>VLOOKUP($B337,'[4]Data - DO NOT PRINT'!$B$3:$G$297,5,FALSE)</f>
        <v>12.83</v>
      </c>
      <c r="G337" s="254" t="str">
        <f>IF(VLOOKUP($B337,'[4]Data - DO NOT PRINT'!$B$3:$G$297,6,FALSE)=0,"",VLOOKUP($B337,'[4]Data - DO NOT PRINT'!$B$3:$G$297,6,FALSE))</f>
        <v/>
      </c>
      <c r="H337" s="282"/>
      <c r="I337" s="283"/>
      <c r="J337" s="282"/>
      <c r="K337" s="282"/>
      <c r="L337" s="282"/>
      <c r="M337" s="282"/>
      <c r="N337" s="282"/>
    </row>
    <row r="338" spans="1:14" s="284" customFormat="1" ht="15" customHeight="1">
      <c r="A338" s="250">
        <v>4.3610300000000004</v>
      </c>
      <c r="B338" s="251" t="s">
        <v>2832</v>
      </c>
      <c r="C338" s="252" t="str">
        <f>VLOOKUP($B338,'[4]Data - DO NOT PRINT'!$B$3:$G$297,2,FALSE)</f>
        <v>Vent Plenum</v>
      </c>
      <c r="D338" s="253" t="str">
        <f>VLOOKUP($B338,'[4]Data - DO NOT PRINT'!$B$3:$G$297,3,FALSE)</f>
        <v>Main Deck</v>
      </c>
      <c r="E338" s="253">
        <f>VLOOKUP($B338,'[4]Data - DO NOT PRINT'!$B$3:$G$297,4,FALSE)</f>
        <v>1.46</v>
      </c>
      <c r="F338" s="253">
        <f>VLOOKUP($B338,'[4]Data - DO NOT PRINT'!$B$3:$G$297,5,FALSE)</f>
        <v>3.03</v>
      </c>
      <c r="G338" s="254" t="str">
        <f>IF(VLOOKUP($B338,'[4]Data - DO NOT PRINT'!$B$3:$G$297,6,FALSE)=0,"",VLOOKUP($B338,'[4]Data - DO NOT PRINT'!$B$3:$G$297,6,FALSE))</f>
        <v/>
      </c>
      <c r="H338" s="282"/>
      <c r="I338" s="283"/>
      <c r="J338" s="282"/>
      <c r="K338" s="282"/>
      <c r="L338" s="282"/>
      <c r="M338" s="282"/>
      <c r="N338" s="282"/>
    </row>
    <row r="339" spans="1:14" s="284" customFormat="1" ht="15" customHeight="1">
      <c r="A339" s="250">
        <v>4.3610300000000004</v>
      </c>
      <c r="B339" s="251" t="s">
        <v>2833</v>
      </c>
      <c r="C339" s="252" t="str">
        <f>VLOOKUP($B339,'[4]Data - DO NOT PRINT'!$B$3:$G$297,2,FALSE)</f>
        <v>Vent Plenum</v>
      </c>
      <c r="D339" s="253" t="str">
        <f>VLOOKUP($B339,'[4]Data - DO NOT PRINT'!$B$3:$G$297,3,FALSE)</f>
        <v>Main Deck</v>
      </c>
      <c r="E339" s="253">
        <f>VLOOKUP($B339,'[4]Data - DO NOT PRINT'!$B$3:$G$297,4,FALSE)</f>
        <v>0.96299999999999997</v>
      </c>
      <c r="F339" s="253">
        <f>VLOOKUP($B339,'[4]Data - DO NOT PRINT'!$B$3:$G$297,5,FALSE)</f>
        <v>2.6963999999999997</v>
      </c>
      <c r="G339" s="254" t="str">
        <f>IF(VLOOKUP($B339,'[4]Data - DO NOT PRINT'!$B$3:$G$297,6,FALSE)=0,"",VLOOKUP($B339,'[4]Data - DO NOT PRINT'!$B$3:$G$297,6,FALSE))</f>
        <v/>
      </c>
      <c r="H339" s="282"/>
      <c r="I339" s="283"/>
      <c r="J339" s="282"/>
      <c r="K339" s="282"/>
      <c r="L339" s="282"/>
      <c r="M339" s="282"/>
      <c r="N339" s="282"/>
    </row>
    <row r="340" spans="1:14" s="284" customFormat="1" ht="15" customHeight="1">
      <c r="A340" s="250">
        <v>4.3610300000000004</v>
      </c>
      <c r="B340" s="251" t="s">
        <v>2834</v>
      </c>
      <c r="C340" s="252" t="str">
        <f>VLOOKUP($B340,'[4]Data - DO NOT PRINT'!$B$3:$G$297,2,FALSE)</f>
        <v>Plenum</v>
      </c>
      <c r="D340" s="253" t="str">
        <f>VLOOKUP($B340,'[4]Data - DO NOT PRINT'!$B$3:$G$297,3,FALSE)</f>
        <v>1st Platform</v>
      </c>
      <c r="E340" s="253">
        <f>VLOOKUP($B340,'[4]Data - DO NOT PRINT'!$B$3:$G$297,4,FALSE)</f>
        <v>2.6360000000000001</v>
      </c>
      <c r="F340" s="253">
        <f>VLOOKUP($B340,'[4]Data - DO NOT PRINT'!$B$3:$G$297,5,FALSE)</f>
        <v>7.91</v>
      </c>
      <c r="G340" s="254"/>
      <c r="H340" s="282"/>
      <c r="I340" s="283"/>
      <c r="J340" s="282"/>
      <c r="K340" s="282"/>
      <c r="L340" s="282"/>
      <c r="M340" s="282"/>
      <c r="N340" s="282"/>
    </row>
    <row r="341" spans="1:14" s="284" customFormat="1" ht="15" customHeight="1">
      <c r="A341" s="250">
        <v>4.3610300000000004</v>
      </c>
      <c r="B341" s="251" t="s">
        <v>2835</v>
      </c>
      <c r="C341" s="252" t="str">
        <f>VLOOKUP($B341,'[4]Data - DO NOT PRINT'!$B$3:$G$297,2,FALSE)</f>
        <v>Plenum</v>
      </c>
      <c r="D341" s="253" t="str">
        <f>VLOOKUP($B341,'[4]Data - DO NOT PRINT'!$B$3:$G$297,3,FALSE)</f>
        <v>1st Platform</v>
      </c>
      <c r="E341" s="253">
        <f>VLOOKUP($B341,'[4]Data - DO NOT PRINT'!$B$3:$G$297,4,FALSE)</f>
        <v>1.68</v>
      </c>
      <c r="F341" s="253">
        <f>VLOOKUP($B341,'[4]Data - DO NOT PRINT'!$B$3:$G$297,5,FALSE)</f>
        <v>3.5279999999999996</v>
      </c>
      <c r="G341" s="254"/>
      <c r="H341" s="282"/>
      <c r="I341" s="283"/>
      <c r="J341" s="282"/>
      <c r="K341" s="282"/>
      <c r="L341" s="282"/>
      <c r="M341" s="282"/>
      <c r="N341" s="282"/>
    </row>
    <row r="342" spans="1:14" s="284" customFormat="1" ht="15" customHeight="1">
      <c r="A342" s="250">
        <v>4.3610300000000004</v>
      </c>
      <c r="B342" s="251" t="s">
        <v>2836</v>
      </c>
      <c r="C342" s="252" t="str">
        <f>VLOOKUP($B342,'[4]Data - DO NOT PRINT'!$B$3:$G$297,2,FALSE)</f>
        <v>Plenum</v>
      </c>
      <c r="D342" s="253" t="str">
        <f>VLOOKUP($B342,'[4]Data - DO NOT PRINT'!$B$3:$G$297,3,FALSE)</f>
        <v>1st Platform</v>
      </c>
      <c r="E342" s="253">
        <f>VLOOKUP($B342,'[4]Data - DO NOT PRINT'!$B$3:$G$297,4,FALSE)</f>
        <v>2.105</v>
      </c>
      <c r="F342" s="253">
        <f>VLOOKUP($B342,'[4]Data - DO NOT PRINT'!$B$3:$G$297,5,FALSE)</f>
        <v>6.32</v>
      </c>
      <c r="G342" s="254"/>
      <c r="H342" s="282"/>
      <c r="I342" s="283"/>
      <c r="J342" s="282"/>
      <c r="K342" s="282"/>
      <c r="L342" s="282"/>
      <c r="M342" s="282"/>
      <c r="N342" s="282"/>
    </row>
    <row r="343" spans="1:14" s="284" customFormat="1" ht="15" customHeight="1">
      <c r="A343" s="250">
        <v>4.3610300000000004</v>
      </c>
      <c r="B343" s="251" t="s">
        <v>2837</v>
      </c>
      <c r="C343" s="252" t="str">
        <f>VLOOKUP($B343,'[4]Data - DO NOT PRINT'!$B$3:$G$297,2,FALSE)</f>
        <v>Plenum</v>
      </c>
      <c r="D343" s="253" t="str">
        <f>VLOOKUP($B343,'[4]Data - DO NOT PRINT'!$B$3:$G$297,3,FALSE)</f>
        <v>1st Platform</v>
      </c>
      <c r="E343" s="253">
        <f>VLOOKUP($B343,'[4]Data - DO NOT PRINT'!$B$3:$G$297,4,FALSE)</f>
        <v>1.68</v>
      </c>
      <c r="F343" s="253">
        <f>VLOOKUP($B343,'[4]Data - DO NOT PRINT'!$B$3:$G$297,5,FALSE)</f>
        <v>3.5279999999999996</v>
      </c>
      <c r="G343" s="254"/>
      <c r="H343" s="282"/>
      <c r="I343" s="283"/>
      <c r="J343" s="282"/>
      <c r="K343" s="282"/>
      <c r="L343" s="282"/>
      <c r="M343" s="282"/>
      <c r="N343" s="282"/>
    </row>
    <row r="344" spans="1:14" s="248" customFormat="1" ht="15" customHeight="1">
      <c r="A344" s="250">
        <v>4.3620099999999997</v>
      </c>
      <c r="B344" s="251" t="s">
        <v>2838</v>
      </c>
      <c r="C344" s="252" t="str">
        <f>VLOOKUP($B344,'[4]Data - DO NOT PRINT'!$B$3:$G$297,2,FALSE)</f>
        <v>Fan Room</v>
      </c>
      <c r="D344" s="253" t="str">
        <f>VLOOKUP($B344,'[4]Data - DO NOT PRINT'!$B$3:$G$297,3,FALSE)</f>
        <v>02 Level</v>
      </c>
      <c r="E344" s="253">
        <f>VLOOKUP($B344,'[4]Data - DO NOT PRINT'!$B$3:$G$297,4,FALSE)</f>
        <v>14.6</v>
      </c>
      <c r="F344" s="253">
        <f>VLOOKUP($B344,'[4]Data - DO NOT PRINT'!$B$3:$G$297,5,FALSE)</f>
        <v>33.42</v>
      </c>
      <c r="G344" s="254" t="str">
        <f>IF(VLOOKUP($B344,'[4]Data - DO NOT PRINT'!$B$3:$G$297,6,FALSE)=0,"",VLOOKUP($B344,'[4]Data - DO NOT PRINT'!$B$3:$G$297,6,FALSE))</f>
        <v/>
      </c>
      <c r="H344" s="246"/>
      <c r="I344" s="247"/>
      <c r="J344" s="246"/>
      <c r="K344" s="246"/>
      <c r="L344" s="246"/>
      <c r="M344" s="246"/>
      <c r="N344" s="246"/>
    </row>
    <row r="345" spans="1:14" s="248" customFormat="1" ht="15" customHeight="1">
      <c r="A345" s="250">
        <v>4.3620099999999997</v>
      </c>
      <c r="B345" s="251" t="s">
        <v>2839</v>
      </c>
      <c r="C345" s="252" t="str">
        <f>VLOOKUP($B345,'[4]Data - DO NOT PRINT'!$B$3:$G$297,2,FALSE)</f>
        <v>Fan Room</v>
      </c>
      <c r="D345" s="253" t="str">
        <f>VLOOKUP($B345,'[4]Data - DO NOT PRINT'!$B$3:$G$297,3,FALSE)</f>
        <v>01 Level</v>
      </c>
      <c r="E345" s="253">
        <f>VLOOKUP($B345,'[4]Data - DO NOT PRINT'!$B$3:$G$297,4,FALSE)</f>
        <v>16.649999999999999</v>
      </c>
      <c r="F345" s="253">
        <f>VLOOKUP($B345,'[4]Data - DO NOT PRINT'!$B$3:$G$297,5,FALSE)</f>
        <v>54.33</v>
      </c>
      <c r="G345" s="254" t="str">
        <f>IF(VLOOKUP($B345,'[4]Data - DO NOT PRINT'!$B$3:$G$297,6,FALSE)=0,"",VLOOKUP($B345,'[4]Data - DO NOT PRINT'!$B$3:$G$297,6,FALSE))</f>
        <v/>
      </c>
      <c r="H345" s="246"/>
      <c r="I345" s="247"/>
      <c r="J345" s="246"/>
      <c r="K345" s="246"/>
      <c r="L345" s="246"/>
      <c r="M345" s="246"/>
      <c r="N345" s="246"/>
    </row>
    <row r="346" spans="1:14" s="248" customFormat="1" ht="15" customHeight="1">
      <c r="A346" s="250">
        <v>4.3620099999999997</v>
      </c>
      <c r="B346" s="251" t="s">
        <v>2840</v>
      </c>
      <c r="C346" s="252" t="str">
        <f>VLOOKUP($B346,'[4]Data - DO NOT PRINT'!$B$3:$G$297,2,FALSE)</f>
        <v>Fan Room</v>
      </c>
      <c r="D346" s="253" t="str">
        <f>VLOOKUP($B346,'[4]Data - DO NOT PRINT'!$B$3:$G$297,3,FALSE)</f>
        <v>01 Level</v>
      </c>
      <c r="E346" s="253">
        <f>VLOOKUP($B346,'[4]Data - DO NOT PRINT'!$B$3:$G$297,4,FALSE)</f>
        <v>13.61</v>
      </c>
      <c r="F346" s="253">
        <f>VLOOKUP($B346,'[4]Data - DO NOT PRINT'!$B$3:$G$297,5,FALSE)</f>
        <v>43.7</v>
      </c>
      <c r="G346" s="254" t="str">
        <f>IF(VLOOKUP($B346,'[4]Data - DO NOT PRINT'!$B$3:$G$297,6,FALSE)=0,"",VLOOKUP($B346,'[4]Data - DO NOT PRINT'!$B$3:$G$297,6,FALSE))</f>
        <v/>
      </c>
      <c r="H346" s="246"/>
      <c r="I346" s="247"/>
      <c r="J346" s="246"/>
      <c r="K346" s="246"/>
      <c r="L346" s="246"/>
      <c r="M346" s="246"/>
      <c r="N346" s="246"/>
    </row>
    <row r="347" spans="1:14" s="248" customFormat="1" ht="15" customHeight="1">
      <c r="A347" s="250">
        <v>4.3620099999999997</v>
      </c>
      <c r="B347" s="251" t="s">
        <v>2841</v>
      </c>
      <c r="C347" s="252" t="str">
        <f>VLOOKUP($B347,'[4]Data - DO NOT PRINT'!$B$3:$G$297,2,FALSE)</f>
        <v>Fan Room</v>
      </c>
      <c r="D347" s="253" t="str">
        <f>VLOOKUP($B347,'[4]Data - DO NOT PRINT'!$B$3:$G$297,3,FALSE)</f>
        <v>Main Deck</v>
      </c>
      <c r="E347" s="253">
        <f>VLOOKUP($B347,'[4]Data - DO NOT PRINT'!$B$3:$G$297,4,FALSE)</f>
        <v>29.32</v>
      </c>
      <c r="F347" s="253">
        <f>VLOOKUP($B347,'[4]Data - DO NOT PRINT'!$B$3:$G$297,5,FALSE)</f>
        <v>57.46</v>
      </c>
      <c r="G347" s="254" t="str">
        <f>IF(VLOOKUP($B347,'[4]Data - DO NOT PRINT'!$B$3:$G$297,6,FALSE)=0,"",VLOOKUP($B347,'[4]Data - DO NOT PRINT'!$B$3:$G$297,6,FALSE))</f>
        <v/>
      </c>
      <c r="H347" s="246"/>
      <c r="I347" s="247"/>
      <c r="J347" s="246"/>
      <c r="K347" s="246"/>
      <c r="L347" s="246"/>
      <c r="M347" s="246"/>
      <c r="N347" s="246"/>
    </row>
    <row r="348" spans="1:14" s="248" customFormat="1" ht="15" customHeight="1">
      <c r="A348" s="250">
        <v>4.3620099999999997</v>
      </c>
      <c r="B348" s="251" t="s">
        <v>2842</v>
      </c>
      <c r="C348" s="252" t="str">
        <f>VLOOKUP($B348,'[4]Data - DO NOT PRINT'!$B$3:$G$297,2,FALSE)</f>
        <v>Fan Room</v>
      </c>
      <c r="D348" s="253" t="str">
        <f>VLOOKUP($B348,'[4]Data - DO NOT PRINT'!$B$3:$G$297,3,FALSE)</f>
        <v>Main Deck</v>
      </c>
      <c r="E348" s="253">
        <f>VLOOKUP($B348,'[4]Data - DO NOT PRINT'!$B$3:$G$297,4,FALSE)</f>
        <v>15.89</v>
      </c>
      <c r="F348" s="253">
        <f>VLOOKUP($B348,'[4]Data - DO NOT PRINT'!$B$3:$G$297,5,FALSE)</f>
        <v>38.159999999999997</v>
      </c>
      <c r="G348" s="254" t="str">
        <f>IF(VLOOKUP($B348,'[4]Data - DO NOT PRINT'!$B$3:$G$297,6,FALSE)=0,"",VLOOKUP($B348,'[4]Data - DO NOT PRINT'!$B$3:$G$297,6,FALSE))</f>
        <v/>
      </c>
      <c r="H348" s="246"/>
      <c r="I348" s="247"/>
      <c r="J348" s="246"/>
      <c r="K348" s="246"/>
      <c r="L348" s="246"/>
      <c r="M348" s="246"/>
      <c r="N348" s="246"/>
    </row>
    <row r="349" spans="1:14" s="248" customFormat="1" ht="15" customHeight="1">
      <c r="A349" s="250">
        <v>4.3620099999999997</v>
      </c>
      <c r="B349" s="251" t="s">
        <v>2843</v>
      </c>
      <c r="C349" s="252" t="str">
        <f>VLOOKUP($B349,'[4]Data - DO NOT PRINT'!$B$3:$G$297,2,FALSE)</f>
        <v>Fan Room</v>
      </c>
      <c r="D349" s="253" t="str">
        <f>VLOOKUP($B349,'[4]Data - DO NOT PRINT'!$B$3:$G$297,3,FALSE)</f>
        <v>1st Platform</v>
      </c>
      <c r="E349" s="253">
        <f>VLOOKUP($B349,'[4]Data - DO NOT PRINT'!$B$3:$G$297,4,FALSE)</f>
        <v>8.7789999999999999</v>
      </c>
      <c r="F349" s="253">
        <f>VLOOKUP($B349,'[4]Data - DO NOT PRINT'!$B$3:$G$297,5,FALSE)</f>
        <v>49.603999999999999</v>
      </c>
      <c r="G349" s="254" t="str">
        <f>IF(VLOOKUP($B349,'[4]Data - DO NOT PRINT'!$B$3:$G$297,6,FALSE)=0,"",VLOOKUP($B349,'[4]Data - DO NOT PRINT'!$B$3:$G$297,6,FALSE))</f>
        <v/>
      </c>
      <c r="H349" s="246"/>
      <c r="I349" s="247"/>
      <c r="J349" s="246"/>
      <c r="K349" s="246"/>
      <c r="L349" s="246"/>
      <c r="M349" s="246"/>
      <c r="N349" s="246"/>
    </row>
    <row r="350" spans="1:14" s="248" customFormat="1" ht="15" customHeight="1">
      <c r="A350" s="280">
        <v>4.3620299999999999</v>
      </c>
      <c r="B350" s="251" t="s">
        <v>2844</v>
      </c>
      <c r="C350" s="252" t="str">
        <f>VLOOKUP($B350,'[4]Data - DO NOT PRINT'!$B$3:$G$297,2,FALSE)</f>
        <v>Vent Trunk</v>
      </c>
      <c r="D350" s="253" t="str">
        <f>VLOOKUP($B350,'[4]Data - DO NOT PRINT'!$B$3:$G$297,3,FALSE)</f>
        <v>Main Deck</v>
      </c>
      <c r="E350" s="253">
        <f>VLOOKUP($B350,'[4]Data - DO NOT PRINT'!$B$3:$G$297,4,FALSE)</f>
        <v>5.47</v>
      </c>
      <c r="F350" s="253">
        <f>VLOOKUP($B350,'[4]Data - DO NOT PRINT'!$B$3:$G$297,5,FALSE)</f>
        <v>45.38</v>
      </c>
      <c r="G350" s="254" t="str">
        <f>IF(VLOOKUP($B350,'[4]Data - DO NOT PRINT'!$B$3:$G$297,6,FALSE)=0,"",VLOOKUP($B350,'[4]Data - DO NOT PRINT'!$B$3:$G$297,6,FALSE))</f>
        <v>03 Level</v>
      </c>
      <c r="H350" s="246"/>
      <c r="I350" s="247"/>
      <c r="J350" s="246"/>
      <c r="K350" s="246"/>
      <c r="L350" s="246"/>
      <c r="M350" s="246"/>
      <c r="N350" s="246"/>
    </row>
    <row r="351" spans="1:14" s="248" customFormat="1" ht="15" customHeight="1">
      <c r="A351" s="250">
        <v>4.3620299999999999</v>
      </c>
      <c r="B351" s="251" t="s">
        <v>2845</v>
      </c>
      <c r="C351" s="252" t="str">
        <f>VLOOKUP($B351,'[4]Data - DO NOT PRINT'!$B$3:$G$297,2,FALSE)</f>
        <v>Vent Trunk</v>
      </c>
      <c r="D351" s="253" t="str">
        <f>VLOOKUP($B351,'[4]Data - DO NOT PRINT'!$B$3:$G$297,3,FALSE)</f>
        <v>Main Deck</v>
      </c>
      <c r="E351" s="253">
        <f>VLOOKUP($B351,'[4]Data - DO NOT PRINT'!$B$3:$G$297,4,FALSE)</f>
        <v>5.47</v>
      </c>
      <c r="F351" s="253">
        <f>VLOOKUP($B351,'[4]Data - DO NOT PRINT'!$B$3:$G$297,5,FALSE)</f>
        <v>45.38</v>
      </c>
      <c r="G351" s="254" t="str">
        <f>IF(VLOOKUP($B351,'[4]Data - DO NOT PRINT'!$B$3:$G$297,6,FALSE)=0,"",VLOOKUP($B351,'[4]Data - DO NOT PRINT'!$B$3:$G$297,6,FALSE))</f>
        <v>03 Level</v>
      </c>
      <c r="H351" s="246"/>
      <c r="I351" s="247"/>
      <c r="J351" s="246"/>
      <c r="K351" s="246"/>
      <c r="L351" s="246"/>
      <c r="M351" s="246"/>
      <c r="N351" s="246"/>
    </row>
    <row r="352" spans="1:14" s="248" customFormat="1" ht="15" customHeight="1">
      <c r="A352" s="250">
        <v>4.3620299999999999</v>
      </c>
      <c r="B352" s="251" t="s">
        <v>2846</v>
      </c>
      <c r="C352" s="252" t="str">
        <f>VLOOKUP($B352,'[4]Data - DO NOT PRINT'!$B$3:$G$297,2,FALSE)</f>
        <v>Natural Vent Trunk</v>
      </c>
      <c r="D352" s="253" t="str">
        <f>VLOOKUP($B352,'[4]Data - DO NOT PRINT'!$B$3:$G$297,3,FALSE)</f>
        <v>2nd Platform</v>
      </c>
      <c r="E352" s="253">
        <f>VLOOKUP($B352,'[4]Data - DO NOT PRINT'!$B$3:$G$297,4,FALSE)</f>
        <v>1.63</v>
      </c>
      <c r="F352" s="253">
        <f>VLOOKUP($B352,'[4]Data - DO NOT PRINT'!$B$3:$G$297,5,FALSE)</f>
        <v>18.14</v>
      </c>
      <c r="G352" s="254" t="str">
        <f>IF(VLOOKUP($B352,'[4]Data - DO NOT PRINT'!$B$3:$G$297,6,FALSE)=0,"",VLOOKUP($B352,'[4]Data - DO NOT PRINT'!$B$3:$G$297,6,FALSE))</f>
        <v>02 Level</v>
      </c>
      <c r="H352" s="246"/>
      <c r="I352" s="247"/>
      <c r="J352" s="246"/>
      <c r="K352" s="246"/>
      <c r="L352" s="246"/>
      <c r="M352" s="246"/>
      <c r="N352" s="246"/>
    </row>
    <row r="353" spans="1:14" s="248" customFormat="1" ht="15" customHeight="1">
      <c r="A353" s="250">
        <v>4.3620299999999999</v>
      </c>
      <c r="B353" s="251" t="s">
        <v>2847</v>
      </c>
      <c r="C353" s="252" t="str">
        <f>VLOOKUP($B353,'[4]Data - DO NOT PRINT'!$B$3:$G$297,2,FALSE)</f>
        <v>Vent Trunk</v>
      </c>
      <c r="D353" s="253" t="str">
        <f>VLOOKUP($B353,'[4]Data - DO NOT PRINT'!$B$3:$G$297,3,FALSE)</f>
        <v>2nd Platform</v>
      </c>
      <c r="E353" s="253">
        <f>VLOOKUP($B353,'[4]Data - DO NOT PRINT'!$B$3:$G$297,4,FALSE)</f>
        <v>1.75</v>
      </c>
      <c r="F353" s="253">
        <f>VLOOKUP($B353,'[4]Data - DO NOT PRINT'!$B$3:$G$297,5,FALSE)</f>
        <v>16.03</v>
      </c>
      <c r="G353" s="254" t="str">
        <f>IF(VLOOKUP($B353,'[4]Data - DO NOT PRINT'!$B$3:$G$297,6,FALSE)=0,"",VLOOKUP($B353,'[4]Data - DO NOT PRINT'!$B$3:$G$297,6,FALSE))</f>
        <v>02 Level</v>
      </c>
      <c r="H353" s="246"/>
      <c r="I353" s="247"/>
      <c r="J353" s="246"/>
      <c r="K353" s="246"/>
      <c r="L353" s="246"/>
      <c r="M353" s="246"/>
      <c r="N353" s="246"/>
    </row>
    <row r="354" spans="1:14" s="248" customFormat="1" ht="15" customHeight="1">
      <c r="A354" s="250">
        <v>4.3630000000000004</v>
      </c>
      <c r="B354" s="251" t="s">
        <v>2848</v>
      </c>
      <c r="C354" s="252" t="str">
        <f>VLOOKUP($B354,'[4]Data - DO NOT PRINT'!$B$3:$G$297,2,FALSE)</f>
        <v xml:space="preserve">Diesel Exhaust Trunk </v>
      </c>
      <c r="D354" s="253" t="str">
        <f>VLOOKUP($B354,'[4]Data - DO NOT PRINT'!$B$3:$G$297,3,FALSE)</f>
        <v>2nd Platform</v>
      </c>
      <c r="E354" s="253">
        <f>VLOOKUP($B354,'[4]Data - DO NOT PRINT'!$B$3:$G$297,4,FALSE)</f>
        <v>1.7</v>
      </c>
      <c r="F354" s="253">
        <f>VLOOKUP($B354,'[4]Data - DO NOT PRINT'!$B$3:$G$297,5,FALSE)</f>
        <v>7.35</v>
      </c>
      <c r="G354" s="254" t="str">
        <f>IF(VLOOKUP($B354,'[4]Data - DO NOT PRINT'!$B$3:$G$297,6,FALSE)=0,"",VLOOKUP($B354,'[4]Data - DO NOT PRINT'!$B$3:$G$297,6,FALSE))</f>
        <v/>
      </c>
      <c r="H354" s="246"/>
      <c r="I354" s="247"/>
      <c r="J354" s="246"/>
      <c r="K354" s="246"/>
      <c r="L354" s="246"/>
      <c r="M354" s="246"/>
      <c r="N354" s="246"/>
    </row>
    <row r="355" spans="1:14" s="248" customFormat="1" ht="15" customHeight="1" thickBot="1">
      <c r="A355" s="257">
        <v>4.3630000000000004</v>
      </c>
      <c r="B355" s="258" t="s">
        <v>2849</v>
      </c>
      <c r="C355" s="259" t="str">
        <f>VLOOKUP($B355,'[4]Data - DO NOT PRINT'!$B$3:$G$297,2,FALSE)</f>
        <v xml:space="preserve">Diesel Exhaust Trunk </v>
      </c>
      <c r="D355" s="260" t="str">
        <f>VLOOKUP($B355,'[4]Data - DO NOT PRINT'!$B$3:$G$297,3,FALSE)</f>
        <v>2nd Platform</v>
      </c>
      <c r="E355" s="260">
        <f>VLOOKUP($B355,'[4]Data - DO NOT PRINT'!$B$3:$G$297,4,FALSE)</f>
        <v>1.73</v>
      </c>
      <c r="F355" s="260">
        <f>VLOOKUP($B355,'[4]Data - DO NOT PRINT'!$B$3:$G$297,5,FALSE)</f>
        <v>7.41</v>
      </c>
      <c r="G355" s="261" t="str">
        <f>IF(VLOOKUP($B355,'[4]Data - DO NOT PRINT'!$B$3:$G$297,6,FALSE)=0,"",VLOOKUP($B355,'[4]Data - DO NOT PRINT'!$B$3:$G$297,6,FALSE))</f>
        <v/>
      </c>
      <c r="H355" s="246"/>
      <c r="I355" s="247"/>
      <c r="J355" s="246"/>
      <c r="K355" s="246"/>
      <c r="L355" s="246"/>
      <c r="M355" s="246"/>
      <c r="N355" s="246"/>
    </row>
    <row r="356" spans="1:14" s="248" customFormat="1" ht="15" customHeight="1" thickBot="1">
      <c r="A356" s="262"/>
      <c r="B356" s="431" t="s">
        <v>2850</v>
      </c>
      <c r="C356" s="431"/>
      <c r="D356" s="432"/>
      <c r="E356" s="263">
        <f>SUBTOTAL(9,E325:E355)</f>
        <v>158.35799999999998</v>
      </c>
      <c r="F356" s="263">
        <f>SUBTOTAL(9,F325:F355)</f>
        <v>515.2604</v>
      </c>
      <c r="G356" s="264"/>
      <c r="H356" s="246"/>
      <c r="I356" s="265"/>
      <c r="J356" s="266"/>
      <c r="K356" s="267"/>
      <c r="L356" s="268"/>
      <c r="M356" s="246"/>
      <c r="N356" s="246"/>
    </row>
    <row r="357" spans="1:14" s="248" customFormat="1" ht="15" customHeight="1">
      <c r="A357" s="269" t="s">
        <v>2851</v>
      </c>
      <c r="B357" s="270" t="s">
        <v>2852</v>
      </c>
      <c r="C357" s="271" t="str">
        <f>VLOOKUP($B357,'[4]Data - DO NOT PRINT'!$B$3:$G$297,2,FALSE)</f>
        <v>Unassigned</v>
      </c>
      <c r="D357" s="272" t="str">
        <f>VLOOKUP($B357,'[4]Data - DO NOT PRINT'!$B$3:$G$297,3,FALSE)</f>
        <v>01 Level</v>
      </c>
      <c r="E357" s="272">
        <f>VLOOKUP($B357,'[4]Data - DO NOT PRINT'!$B$3:$G$297,4,FALSE)</f>
        <v>3.64</v>
      </c>
      <c r="F357" s="272">
        <f>VLOOKUP($B357,'[4]Data - DO NOT PRINT'!$B$3:$G$297,5,FALSE)</f>
        <v>12.56</v>
      </c>
      <c r="G357" s="273" t="str">
        <f>IF(VLOOKUP($B357,'[4]Data - DO NOT PRINT'!$B$3:$G$297,6,FALSE)=0,"",VLOOKUP($B357,'[4]Data - DO NOT PRINT'!$B$3:$G$297,6,FALSE))</f>
        <v/>
      </c>
      <c r="H357" s="246"/>
      <c r="I357" s="247"/>
      <c r="J357" s="246"/>
      <c r="K357" s="246"/>
      <c r="L357" s="246"/>
      <c r="M357" s="246"/>
      <c r="N357" s="246"/>
    </row>
    <row r="358" spans="1:14" s="248" customFormat="1" ht="15" customHeight="1" thickBot="1">
      <c r="A358" s="257" t="s">
        <v>2851</v>
      </c>
      <c r="B358" s="258" t="s">
        <v>2853</v>
      </c>
      <c r="C358" s="259" t="str">
        <f>VLOOKUP($B358,'[4]Data - DO NOT PRINT'!$B$3:$G$297,2,FALSE)</f>
        <v>Unassigned</v>
      </c>
      <c r="D358" s="260" t="str">
        <f>VLOOKUP($B358,'[4]Data - DO NOT PRINT'!$B$3:$G$297,3,FALSE)</f>
        <v>2nd Platform</v>
      </c>
      <c r="E358" s="260">
        <f>VLOOKUP($B358,'[4]Data - DO NOT PRINT'!$B$3:$G$297,4,FALSE)</f>
        <v>12.100765190800001</v>
      </c>
      <c r="F358" s="260">
        <f>VLOOKUP($B358,'[4]Data - DO NOT PRINT'!$B$3:$G$297,5,FALSE)</f>
        <v>55.661853899999997</v>
      </c>
      <c r="G358" s="261" t="str">
        <f>IF(VLOOKUP($B358,'[4]Data - DO NOT PRINT'!$B$3:$G$297,6,FALSE)=0,"",VLOOKUP($B358,'[4]Data - DO NOT PRINT'!$B$3:$G$297,6,FALSE))</f>
        <v/>
      </c>
      <c r="H358" s="246"/>
      <c r="I358" s="247"/>
      <c r="J358" s="246"/>
      <c r="K358" s="246"/>
      <c r="L358" s="246"/>
      <c r="M358" s="246"/>
      <c r="N358" s="246"/>
    </row>
    <row r="359" spans="1:14" s="248" customFormat="1" ht="15" customHeight="1" thickBot="1">
      <c r="A359" s="262"/>
      <c r="B359" s="431" t="s">
        <v>2854</v>
      </c>
      <c r="C359" s="431"/>
      <c r="D359" s="432"/>
      <c r="E359" s="263">
        <f>SUBTOTAL(9,E357:E358)</f>
        <v>15.740765190800001</v>
      </c>
      <c r="F359" s="263">
        <f>SUBTOTAL(9,F357:F358)</f>
        <v>68.221853899999999</v>
      </c>
      <c r="G359" s="264"/>
      <c r="H359" s="246"/>
      <c r="I359" s="265"/>
      <c r="J359" s="266"/>
      <c r="K359" s="267"/>
      <c r="L359" s="268"/>
      <c r="M359" s="246"/>
      <c r="N359" s="246"/>
    </row>
    <row r="360" spans="1:14" s="248" customFormat="1" ht="15" customHeight="1">
      <c r="A360" s="291">
        <v>5.2</v>
      </c>
      <c r="B360" s="270" t="s">
        <v>2855</v>
      </c>
      <c r="C360" s="271" t="str">
        <f>VLOOKUP($B360,'[4]Data - DO NOT PRINT'!$B$3:$G$297,2,FALSE)</f>
        <v>Reconfigurable Space No. 1</v>
      </c>
      <c r="D360" s="272" t="str">
        <f>VLOOKUP($B360,'[4]Data - DO NOT PRINT'!$B$3:$G$297,3,FALSE)</f>
        <v>2nd Platform</v>
      </c>
      <c r="E360" s="272">
        <f>VLOOKUP($B360,'[4]Data - DO NOT PRINT'!$B$3:$G$297,4,FALSE)</f>
        <v>132.84</v>
      </c>
      <c r="F360" s="272">
        <f>VLOOKUP($B360,'[4]Data - DO NOT PRINT'!$B$3:$G$297,5,FALSE)</f>
        <v>476.39</v>
      </c>
      <c r="G360" s="273" t="str">
        <f>IF(VLOOKUP($B360,'[4]Data - DO NOT PRINT'!$B$3:$G$297,6,FALSE)=0,"",VLOOKUP($B360,'[4]Data - DO NOT PRINT'!$B$3:$G$297,6,FALSE))</f>
        <v/>
      </c>
      <c r="H360" s="246"/>
      <c r="I360" s="247"/>
      <c r="J360" s="246"/>
      <c r="K360" s="246"/>
      <c r="L360" s="246"/>
      <c r="M360" s="246"/>
      <c r="N360" s="246"/>
    </row>
    <row r="361" spans="1:14" s="248" customFormat="1" ht="15" customHeight="1" thickBot="1">
      <c r="A361" s="257">
        <v>5.2</v>
      </c>
      <c r="B361" s="258" t="s">
        <v>2856</v>
      </c>
      <c r="C361" s="259" t="str">
        <f>VLOOKUP($B361,'[4]Data - DO NOT PRINT'!$B$3:$G$297,2,FALSE)</f>
        <v>Reconfigurable Space No. 2</v>
      </c>
      <c r="D361" s="260" t="str">
        <f>VLOOKUP($B361,'[4]Data - DO NOT PRINT'!$B$3:$G$297,3,FALSE)</f>
        <v>2nd Platform</v>
      </c>
      <c r="E361" s="260">
        <f>VLOOKUP($B361,'[4]Data - DO NOT PRINT'!$B$3:$G$297,4,FALSE)</f>
        <v>253.75</v>
      </c>
      <c r="F361" s="260">
        <f>VLOOKUP($B361,'[4]Data - DO NOT PRINT'!$B$3:$G$297,5,FALSE)</f>
        <v>1339.7747729</v>
      </c>
      <c r="G361" s="261" t="str">
        <f>IF(VLOOKUP($B361,'[4]Data - DO NOT PRINT'!$B$3:$G$297,6,FALSE)=0,"",VLOOKUP($B361,'[4]Data - DO NOT PRINT'!$B$3:$G$297,6,FALSE))</f>
        <v>1st Plat</v>
      </c>
      <c r="H361" s="246"/>
      <c r="I361" s="247"/>
      <c r="J361" s="246"/>
      <c r="K361" s="246"/>
      <c r="L361" s="246"/>
      <c r="M361" s="246"/>
      <c r="N361" s="246"/>
    </row>
    <row r="362" spans="1:14" s="248" customFormat="1" ht="15" customHeight="1" thickBot="1">
      <c r="A362" s="262"/>
      <c r="B362" s="431" t="s">
        <v>2857</v>
      </c>
      <c r="C362" s="431"/>
      <c r="D362" s="432"/>
      <c r="E362" s="263">
        <f>SUBTOTAL(9,E360:E361)</f>
        <v>386.59000000000003</v>
      </c>
      <c r="F362" s="263">
        <f>SUBTOTAL(9,F360:F361)</f>
        <v>1816.1647729000001</v>
      </c>
      <c r="G362" s="264"/>
      <c r="H362" s="246"/>
      <c r="I362" s="265"/>
      <c r="J362" s="266"/>
      <c r="K362" s="267"/>
      <c r="L362" s="268"/>
      <c r="M362" s="246"/>
      <c r="N362" s="246"/>
    </row>
    <row r="363" spans="1:14" s="240" customFormat="1" ht="15" customHeight="1" thickBot="1">
      <c r="A363" s="262"/>
      <c r="B363" s="429" t="s">
        <v>1942</v>
      </c>
      <c r="C363" s="429"/>
      <c r="D363" s="430"/>
      <c r="E363" s="263">
        <f>SUBTOTAL(9,E2:E362)-SUMIF($I$2:$I$361,"LCS 15AF",E2:E362)</f>
        <v>4221.6024731407015</v>
      </c>
      <c r="F363" s="263">
        <f>SUBTOTAL(9,F2:F362)-SUMIF($I$2:$I$361,"LCS 15AF",F2:F362)</f>
        <v>17929.393433794292</v>
      </c>
      <c r="G363" s="264"/>
      <c r="H363" s="246"/>
      <c r="I363" s="265"/>
      <c r="J363" s="266"/>
      <c r="K363" s="292"/>
      <c r="L363" s="293"/>
      <c r="M363" s="238"/>
      <c r="N363" s="238"/>
    </row>
    <row r="364" spans="1:14" ht="12" customHeight="1">
      <c r="H364" s="246"/>
    </row>
    <row r="365" spans="1:14" ht="12" customHeight="1">
      <c r="D365" s="298" t="s">
        <v>2858</v>
      </c>
      <c r="E365" s="299" t="str">
        <f>IF(E363='[4]By Alphabetical'!E303,"OK","ERROR")</f>
        <v>OK</v>
      </c>
      <c r="F365" s="299" t="str">
        <f>IF(F363='[4]By Alphabetical'!F303,"OK","ERROR")</f>
        <v>OK</v>
      </c>
    </row>
  </sheetData>
  <autoFilter ref="A1:G362"/>
  <mergeCells count="61">
    <mergeCell ref="B29:D29"/>
    <mergeCell ref="B5:D5"/>
    <mergeCell ref="B8:D8"/>
    <mergeCell ref="B18:D18"/>
    <mergeCell ref="B21:D21"/>
    <mergeCell ref="B27:D27"/>
    <mergeCell ref="B88:D88"/>
    <mergeCell ref="B31:D31"/>
    <mergeCell ref="B33:D33"/>
    <mergeCell ref="B35:D35"/>
    <mergeCell ref="B37:D37"/>
    <mergeCell ref="B41:D41"/>
    <mergeCell ref="B46:D46"/>
    <mergeCell ref="B48:D48"/>
    <mergeCell ref="B50:D50"/>
    <mergeCell ref="B52:D52"/>
    <mergeCell ref="B54:D54"/>
    <mergeCell ref="B73:D73"/>
    <mergeCell ref="B140:D140"/>
    <mergeCell ref="B112:D112"/>
    <mergeCell ref="B114:D114"/>
    <mergeCell ref="B118:D118"/>
    <mergeCell ref="B121:D121"/>
    <mergeCell ref="B123:D123"/>
    <mergeCell ref="B125:D125"/>
    <mergeCell ref="B127:D127"/>
    <mergeCell ref="B129:D129"/>
    <mergeCell ref="B131:D131"/>
    <mergeCell ref="B136:D136"/>
    <mergeCell ref="B138:D138"/>
    <mergeCell ref="B178:D178"/>
    <mergeCell ref="B144:D144"/>
    <mergeCell ref="B147:D147"/>
    <mergeCell ref="B150:D150"/>
    <mergeCell ref="B154:D154"/>
    <mergeCell ref="B157:D157"/>
    <mergeCell ref="B160:D160"/>
    <mergeCell ref="B162:D162"/>
    <mergeCell ref="B164:D164"/>
    <mergeCell ref="B169:D169"/>
    <mergeCell ref="B171:D171"/>
    <mergeCell ref="B174:D174"/>
    <mergeCell ref="B315:D315"/>
    <mergeCell ref="B211:D211"/>
    <mergeCell ref="B253:D253"/>
    <mergeCell ref="B256:D256"/>
    <mergeCell ref="B259:D259"/>
    <mergeCell ref="B270:D270"/>
    <mergeCell ref="B290:D290"/>
    <mergeCell ref="B296:D296"/>
    <mergeCell ref="B305:D305"/>
    <mergeCell ref="B308:D308"/>
    <mergeCell ref="B310:D310"/>
    <mergeCell ref="B312:D312"/>
    <mergeCell ref="B363:D363"/>
    <mergeCell ref="B319:D319"/>
    <mergeCell ref="B322:D322"/>
    <mergeCell ref="B324:D324"/>
    <mergeCell ref="B356:D356"/>
    <mergeCell ref="B359:D359"/>
    <mergeCell ref="B362:D362"/>
  </mergeCells>
  <printOptions horizontalCentered="1"/>
  <pageMargins left="0.7" right="0.7" top="0.75" bottom="0.75" header="0.3" footer="0.3"/>
  <pageSetup scale="55" fitToHeight="5" orientation="portrait" r:id="rId1"/>
  <headerFooter scaleWithDoc="0"/>
  <rowBreaks count="3" manualBreakCount="3">
    <brk id="73" max="6" man="1"/>
    <brk id="206" max="6" man="1"/>
    <brk id="288" max="6" man="1"/>
  </rowBreaks>
  <colBreaks count="1" manualBreakCount="1">
    <brk id="7" max="35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436"/>
  <sheetViews>
    <sheetView topLeftCell="A371" workbookViewId="0">
      <selection activeCell="F365" sqref="F365"/>
    </sheetView>
  </sheetViews>
  <sheetFormatPr defaultRowHeight="14.5"/>
  <cols>
    <col min="1" max="1" width="19.36328125" style="4" customWidth="1"/>
    <col min="2" max="2" width="34.54296875" bestFit="1" customWidth="1"/>
    <col min="3" max="3" width="11.26953125" bestFit="1" customWidth="1"/>
    <col min="4" max="5" width="11.26953125" customWidth="1"/>
    <col min="6" max="7" width="11.26953125" bestFit="1" customWidth="1"/>
    <col min="8" max="8" width="11.26953125" customWidth="1"/>
    <col min="9" max="9" width="12" style="5" bestFit="1" customWidth="1"/>
    <col min="10" max="11" width="12" style="5" customWidth="1"/>
    <col min="12" max="12" width="8.7265625" style="5"/>
  </cols>
  <sheetData>
    <row r="1" spans="1:8">
      <c r="A1" s="5"/>
      <c r="C1" s="6" t="str">
        <f>'Blk 1'!C1</f>
        <v>BLK 1</v>
      </c>
      <c r="D1" s="6" t="str">
        <f>Future!C1</f>
        <v>FUTURE</v>
      </c>
      <c r="E1" s="6"/>
      <c r="H1" s="6"/>
    </row>
    <row r="2" spans="1:8" ht="15.5">
      <c r="A2" s="38" t="s">
        <v>344</v>
      </c>
      <c r="B2" s="38" t="s">
        <v>345</v>
      </c>
      <c r="C2" s="6">
        <f>'Blk 1'!C2</f>
        <v>14236.7</v>
      </c>
      <c r="D2" s="6">
        <f>Future!C2</f>
        <v>15060.7</v>
      </c>
      <c r="E2" s="6"/>
      <c r="H2" s="6"/>
    </row>
    <row r="3" spans="1:8" ht="15.5">
      <c r="A3" s="38" t="s">
        <v>347</v>
      </c>
      <c r="B3" s="38" t="s">
        <v>348</v>
      </c>
      <c r="C3" s="6">
        <f>'Blk 1'!C3</f>
        <v>186.88</v>
      </c>
      <c r="D3" s="6">
        <f>Future!C3</f>
        <v>186.88</v>
      </c>
      <c r="E3" s="6"/>
      <c r="H3" s="6"/>
    </row>
    <row r="4" spans="1:8" ht="15.5">
      <c r="A4" s="38" t="s">
        <v>349</v>
      </c>
      <c r="B4" s="38" t="s">
        <v>350</v>
      </c>
      <c r="C4" s="6">
        <f>'Blk 1'!C4</f>
        <v>171.66</v>
      </c>
      <c r="D4" s="6">
        <f>Future!C4</f>
        <v>171.66</v>
      </c>
      <c r="E4" s="6"/>
      <c r="H4" s="6"/>
    </row>
    <row r="5" spans="1:8" ht="15.5">
      <c r="A5" s="38" t="s">
        <v>351</v>
      </c>
      <c r="B5" s="38" t="s">
        <v>352</v>
      </c>
      <c r="C5" s="6">
        <f>'Blk 1'!C5</f>
        <v>21.3</v>
      </c>
      <c r="D5" s="6">
        <f>Future!C5</f>
        <v>21.3</v>
      </c>
      <c r="E5" s="6"/>
      <c r="H5" s="6"/>
    </row>
    <row r="6" spans="1:8" ht="15.5">
      <c r="A6" s="38" t="s">
        <v>29</v>
      </c>
      <c r="B6" s="38" t="s">
        <v>353</v>
      </c>
      <c r="C6" s="6">
        <f>'Blk 1'!C6</f>
        <v>15.06</v>
      </c>
      <c r="D6" s="6">
        <f>Future!C6</f>
        <v>15.06</v>
      </c>
      <c r="E6" s="6"/>
      <c r="H6" s="6"/>
    </row>
    <row r="7" spans="1:8" ht="15.5">
      <c r="A7" s="38" t="s">
        <v>28</v>
      </c>
      <c r="B7" s="38" t="s">
        <v>354</v>
      </c>
      <c r="C7" s="6">
        <f>'Blk 1'!C7</f>
        <v>7.12</v>
      </c>
      <c r="D7" s="6">
        <f>Future!C7</f>
        <v>7.39</v>
      </c>
      <c r="E7" s="6"/>
      <c r="H7" s="6"/>
    </row>
    <row r="8" spans="1:8" ht="15.5">
      <c r="A8" s="38" t="s">
        <v>355</v>
      </c>
      <c r="B8" s="38"/>
      <c r="C8" s="6">
        <f>'Blk 1'!C8</f>
        <v>0.50852799999999998</v>
      </c>
      <c r="D8" s="6">
        <f>Future!C8</f>
        <v>0.50852799999999998</v>
      </c>
      <c r="E8" s="6"/>
      <c r="H8" s="6"/>
    </row>
    <row r="9" spans="1:8" ht="15.5">
      <c r="A9" s="38" t="s">
        <v>356</v>
      </c>
      <c r="B9" s="38"/>
      <c r="C9" s="6">
        <f>'Blk 1'!C9</f>
        <v>0.85899999999999999</v>
      </c>
      <c r="D9" s="6">
        <f>Future!C9</f>
        <v>0.85899999999999999</v>
      </c>
      <c r="E9" s="6"/>
      <c r="H9" s="6"/>
    </row>
    <row r="10" spans="1:8" ht="15.5">
      <c r="A10" s="38" t="s">
        <v>357</v>
      </c>
      <c r="B10" s="38"/>
      <c r="C10" s="6">
        <f>'Blk 1'!C10</f>
        <v>0.59199999999999997</v>
      </c>
      <c r="D10" s="6">
        <f>Future!C10</f>
        <v>0.59199999999999997</v>
      </c>
      <c r="E10" s="6"/>
      <c r="H10" s="6"/>
    </row>
    <row r="11" spans="1:8" ht="15.5">
      <c r="A11" s="38" t="s">
        <v>358</v>
      </c>
      <c r="B11" s="38" t="s">
        <v>359</v>
      </c>
      <c r="C11" s="6">
        <f>'Blk 1'!C11</f>
        <v>106175</v>
      </c>
      <c r="D11" s="6">
        <f>Future!C11</f>
        <v>106175</v>
      </c>
      <c r="E11" s="6"/>
      <c r="H11" s="6"/>
    </row>
    <row r="12" spans="1:8" ht="15.5">
      <c r="A12" s="38" t="s">
        <v>361</v>
      </c>
      <c r="B12" s="38" t="s">
        <v>362</v>
      </c>
      <c r="C12" s="6">
        <f>'Blk 1'!C12</f>
        <v>0</v>
      </c>
      <c r="D12" s="6">
        <f>Future!C12</f>
        <v>0</v>
      </c>
      <c r="E12" s="6"/>
      <c r="H12" s="6"/>
    </row>
    <row r="13" spans="1:8" ht="15.5">
      <c r="A13" s="38" t="s">
        <v>363</v>
      </c>
      <c r="B13" s="38" t="s">
        <v>364</v>
      </c>
      <c r="C13" s="6">
        <f>'Blk 1'!C13</f>
        <v>390</v>
      </c>
      <c r="D13" s="6">
        <f>Future!C13</f>
        <v>390</v>
      </c>
      <c r="E13" s="6"/>
      <c r="H13" s="6"/>
    </row>
    <row r="14" spans="1:8" ht="15.5">
      <c r="A14" s="38" t="s">
        <v>365</v>
      </c>
      <c r="B14" s="38" t="s">
        <v>366</v>
      </c>
      <c r="C14" s="6">
        <f>'Blk 1'!C14</f>
        <v>31.21</v>
      </c>
      <c r="D14" s="6">
        <f>Future!C14</f>
        <v>30.39</v>
      </c>
      <c r="E14" s="6"/>
      <c r="H14" s="6"/>
    </row>
    <row r="15" spans="1:8">
      <c r="A15" s="5"/>
      <c r="C15" s="6"/>
      <c r="D15" s="6"/>
      <c r="E15" s="6"/>
      <c r="H15" s="6"/>
    </row>
    <row r="16" spans="1:8">
      <c r="A16" s="5"/>
      <c r="B16" s="1" t="s">
        <v>10</v>
      </c>
      <c r="C16" s="6">
        <f>'Blk 1'!C16</f>
        <v>14236.7</v>
      </c>
      <c r="D16" s="6">
        <f>Future!C16</f>
        <v>14180.3</v>
      </c>
      <c r="E16" s="6"/>
      <c r="H16" s="6"/>
    </row>
    <row r="17" spans="1:8">
      <c r="A17" s="5"/>
      <c r="B17" s="1" t="s">
        <v>11</v>
      </c>
      <c r="C17">
        <f>'Blk 1'!C17</f>
        <v>390</v>
      </c>
      <c r="D17">
        <f>Future!C17</f>
        <v>390</v>
      </c>
    </row>
    <row r="18" spans="1:8">
      <c r="A18" s="5"/>
      <c r="B18" s="1" t="s">
        <v>13</v>
      </c>
      <c r="C18" s="24">
        <f>'Blk 1'!C18</f>
        <v>3.14</v>
      </c>
      <c r="D18" s="24">
        <f>Future!C18</f>
        <v>3.16</v>
      </c>
      <c r="E18" s="24"/>
      <c r="H18" s="24"/>
    </row>
    <row r="19" spans="1:8">
      <c r="A19" s="5"/>
      <c r="B19" s="1" t="s">
        <v>14</v>
      </c>
      <c r="C19">
        <f>'Blk 1'!C19</f>
        <v>10563</v>
      </c>
      <c r="D19">
        <f>Future!C19</f>
        <v>10738</v>
      </c>
    </row>
    <row r="20" spans="1:8">
      <c r="A20" s="5"/>
      <c r="B20" s="1" t="s">
        <v>16</v>
      </c>
      <c r="C20">
        <f>'Blk 1'!C20</f>
        <v>2571</v>
      </c>
      <c r="D20">
        <f>Future!C20</f>
        <v>2759</v>
      </c>
    </row>
    <row r="21" spans="1:8">
      <c r="A21" s="5"/>
      <c r="B21" s="1" t="s">
        <v>18</v>
      </c>
      <c r="C21">
        <f>'Blk 1'!C21</f>
        <v>0</v>
      </c>
      <c r="D21">
        <f>Future!C21</f>
        <v>0</v>
      </c>
    </row>
    <row r="22" spans="1:8">
      <c r="A22" s="5"/>
      <c r="B22" t="s">
        <v>12</v>
      </c>
      <c r="C22">
        <f>'Blk 1'!C22</f>
        <v>0</v>
      </c>
      <c r="D22">
        <f>Future!C22</f>
        <v>0</v>
      </c>
    </row>
    <row r="23" spans="1:8">
      <c r="A23" s="5"/>
      <c r="B23" t="s">
        <v>15</v>
      </c>
      <c r="C23">
        <f>'Blk 1'!C23</f>
        <v>0.1</v>
      </c>
      <c r="D23">
        <f>Future!C23</f>
        <v>0.15</v>
      </c>
    </row>
    <row r="24" spans="1:8">
      <c r="A24" s="5"/>
      <c r="B24" t="s">
        <v>17</v>
      </c>
      <c r="C24">
        <f>'Blk 1'!C24</f>
        <v>0</v>
      </c>
      <c r="D24">
        <f>Future!C24</f>
        <v>0</v>
      </c>
    </row>
    <row r="25" spans="1:8">
      <c r="A25" s="5"/>
      <c r="B25" s="1"/>
    </row>
    <row r="26" spans="1:8">
      <c r="A26" s="5"/>
      <c r="B26" s="4" t="s">
        <v>336</v>
      </c>
      <c r="C26" s="6"/>
      <c r="E26" s="6"/>
    </row>
    <row r="27" spans="1:8">
      <c r="A27" s="5"/>
      <c r="B27" s="1"/>
      <c r="C27" s="6"/>
      <c r="E27" s="6"/>
    </row>
    <row r="28" spans="1:8">
      <c r="A28" s="5"/>
      <c r="B28" s="7" t="s">
        <v>21</v>
      </c>
      <c r="C28" s="6">
        <f>'Blk 1'!C28</f>
        <v>0</v>
      </c>
      <c r="D28">
        <f>Future!C29</f>
        <v>1000</v>
      </c>
      <c r="E28" s="6"/>
    </row>
    <row r="29" spans="1:8">
      <c r="A29" s="5"/>
      <c r="B29" s="7" t="s">
        <v>22</v>
      </c>
      <c r="C29" s="25">
        <f>'Blk 1'!C29</f>
        <v>0</v>
      </c>
      <c r="D29" s="27">
        <f>Future!C30</f>
        <v>1000</v>
      </c>
      <c r="E29" s="26"/>
    </row>
    <row r="30" spans="1:8">
      <c r="A30" s="5"/>
      <c r="B30" s="7" t="s">
        <v>20</v>
      </c>
      <c r="C30" s="6">
        <f>'Blk 1'!C30</f>
        <v>0</v>
      </c>
      <c r="D30" t="e">
        <f>Future!#REF!</f>
        <v>#REF!</v>
      </c>
      <c r="E30" s="6"/>
    </row>
    <row r="31" spans="1:8">
      <c r="A31" s="5"/>
      <c r="B31" s="1"/>
      <c r="C31" s="6"/>
      <c r="E31" s="6"/>
    </row>
    <row r="32" spans="1:8">
      <c r="A32" s="5"/>
      <c r="B32" s="4" t="s">
        <v>335</v>
      </c>
      <c r="C32" s="6"/>
      <c r="E32" s="6"/>
    </row>
    <row r="33" spans="1:5">
      <c r="A33" s="5"/>
      <c r="B33" s="7" t="s">
        <v>21</v>
      </c>
      <c r="C33" s="6">
        <f>'Blk 1'!C33</f>
        <v>1249</v>
      </c>
      <c r="D33">
        <f>Future!C33</f>
        <v>1285</v>
      </c>
      <c r="E33" s="6"/>
    </row>
    <row r="34" spans="1:5">
      <c r="A34" s="5"/>
      <c r="B34" s="7" t="s">
        <v>22</v>
      </c>
      <c r="C34" s="25">
        <f>'Blk 1'!C34</f>
        <v>4820</v>
      </c>
      <c r="D34" s="27">
        <f>Future!C34</f>
        <v>6509</v>
      </c>
      <c r="E34" s="26"/>
    </row>
    <row r="35" spans="1:5">
      <c r="A35" s="5"/>
      <c r="B35" s="7" t="s">
        <v>20</v>
      </c>
      <c r="C35" s="6">
        <f>'Blk 1'!C35</f>
        <v>6069</v>
      </c>
      <c r="D35">
        <f>Future!C35</f>
        <v>7794</v>
      </c>
      <c r="E35" s="6"/>
    </row>
    <row r="36" spans="1:5">
      <c r="A36" s="28"/>
      <c r="C36" s="6"/>
      <c r="E36" s="6"/>
    </row>
    <row r="37" spans="1:5">
      <c r="A37" s="5"/>
      <c r="B37" s="1" t="s">
        <v>337</v>
      </c>
      <c r="C37" s="6"/>
      <c r="E37" s="6"/>
    </row>
    <row r="38" spans="1:5">
      <c r="A38" s="5"/>
      <c r="B38" s="7" t="s">
        <v>21</v>
      </c>
      <c r="C38" s="6">
        <f>'Blk 1'!C38</f>
        <v>3264</v>
      </c>
      <c r="D38">
        <f>Future!C38</f>
        <v>3379</v>
      </c>
      <c r="E38" s="6"/>
    </row>
    <row r="39" spans="1:5">
      <c r="A39" s="5"/>
      <c r="B39" s="7" t="s">
        <v>22</v>
      </c>
      <c r="C39" s="25">
        <f>'Blk 1'!C39</f>
        <v>6817</v>
      </c>
      <c r="D39" s="27">
        <f>Future!C39</f>
        <v>6538</v>
      </c>
      <c r="E39" s="26"/>
    </row>
    <row r="40" spans="1:5">
      <c r="A40" s="5"/>
      <c r="B40" s="7" t="s">
        <v>20</v>
      </c>
      <c r="C40" s="6">
        <f>'Blk 1'!C40</f>
        <v>10081</v>
      </c>
      <c r="D40">
        <f>Future!C40</f>
        <v>9917</v>
      </c>
      <c r="E40" s="6"/>
    </row>
    <row r="41" spans="1:5">
      <c r="A41" s="5"/>
      <c r="B41" s="2"/>
      <c r="C41" s="6"/>
      <c r="E41" s="6"/>
    </row>
    <row r="42" spans="1:5">
      <c r="A42" s="5"/>
      <c r="B42" s="4" t="s">
        <v>338</v>
      </c>
      <c r="C42" s="6"/>
      <c r="E42" s="6"/>
    </row>
    <row r="43" spans="1:5">
      <c r="A43" s="5"/>
      <c r="B43" s="7" t="s">
        <v>21</v>
      </c>
      <c r="C43" s="6">
        <f>'Blk 1'!C43</f>
        <v>11600</v>
      </c>
      <c r="D43">
        <f>Future!C43</f>
        <v>10640</v>
      </c>
      <c r="E43" s="6"/>
    </row>
    <row r="44" spans="1:5">
      <c r="A44" s="5"/>
      <c r="B44" s="7" t="s">
        <v>22</v>
      </c>
      <c r="C44" s="25">
        <f>'Blk 1'!C44</f>
        <v>34570</v>
      </c>
      <c r="D44" s="27">
        <f>Future!C44</f>
        <v>34572</v>
      </c>
      <c r="E44" s="26"/>
    </row>
    <row r="45" spans="1:5">
      <c r="A45" s="5"/>
      <c r="B45" s="7" t="s">
        <v>20</v>
      </c>
      <c r="C45" s="6">
        <f>'Blk 1'!C45</f>
        <v>46170</v>
      </c>
      <c r="D45">
        <f>Future!C45</f>
        <v>45212</v>
      </c>
      <c r="E45" s="6"/>
    </row>
    <row r="46" spans="1:5">
      <c r="A46" s="28"/>
      <c r="C46" s="6"/>
      <c r="E46" s="6"/>
    </row>
    <row r="47" spans="1:5">
      <c r="A47" s="5"/>
      <c r="B47" s="4" t="s">
        <v>339</v>
      </c>
    </row>
    <row r="48" spans="1:5">
      <c r="A48" s="28" t="s">
        <v>23</v>
      </c>
      <c r="B48" s="1" t="s">
        <v>24</v>
      </c>
    </row>
    <row r="49" spans="1:5">
      <c r="A49" s="28">
        <v>1</v>
      </c>
      <c r="B49" t="s">
        <v>27</v>
      </c>
      <c r="C49" s="6">
        <v>379</v>
      </c>
      <c r="D49">
        <f>Future!C49</f>
        <v>1417</v>
      </c>
      <c r="E49" s="6"/>
    </row>
    <row r="50" spans="1:5">
      <c r="A50" s="28">
        <v>2</v>
      </c>
      <c r="B50" t="s">
        <v>107</v>
      </c>
      <c r="C50" s="6">
        <v>2102</v>
      </c>
      <c r="D50">
        <f>Future!C50</f>
        <v>2102</v>
      </c>
      <c r="E50" s="6"/>
    </row>
    <row r="51" spans="1:5">
      <c r="A51" s="28">
        <v>3</v>
      </c>
      <c r="B51" t="s">
        <v>293</v>
      </c>
      <c r="C51" s="6">
        <v>2842</v>
      </c>
      <c r="D51">
        <f>Future!C51</f>
        <v>2847</v>
      </c>
      <c r="E51" s="6"/>
    </row>
    <row r="52" spans="1:5">
      <c r="A52" s="28">
        <v>4</v>
      </c>
      <c r="B52" t="s">
        <v>341</v>
      </c>
      <c r="C52" s="6">
        <v>195</v>
      </c>
      <c r="D52">
        <f>Future!C52</f>
        <v>412</v>
      </c>
      <c r="E52" s="6"/>
    </row>
    <row r="53" spans="1:5">
      <c r="A53" s="28">
        <v>5</v>
      </c>
      <c r="B53" t="s">
        <v>342</v>
      </c>
      <c r="C53" s="25">
        <v>551.70000000000005</v>
      </c>
      <c r="D53" s="27">
        <f>Future!C53</f>
        <v>1016.6</v>
      </c>
      <c r="E53" s="26"/>
    </row>
    <row r="54" spans="1:5">
      <c r="A54" s="28" t="s">
        <v>20</v>
      </c>
      <c r="C54" s="6">
        <v>6069</v>
      </c>
      <c r="D54">
        <f>Future!C54</f>
        <v>7794.6</v>
      </c>
      <c r="E54" s="6"/>
    </row>
    <row r="55" spans="1:5">
      <c r="A55" s="5"/>
    </row>
    <row r="56" spans="1:5">
      <c r="A56" s="5" t="s">
        <v>340</v>
      </c>
      <c r="C56" s="6"/>
      <c r="E56" s="6"/>
    </row>
    <row r="57" spans="1:5">
      <c r="A57" s="28" t="s">
        <v>23</v>
      </c>
      <c r="B57" t="s">
        <v>24</v>
      </c>
    </row>
    <row r="58" spans="1:5">
      <c r="A58" s="28">
        <v>1</v>
      </c>
      <c r="B58" t="s">
        <v>27</v>
      </c>
      <c r="C58" s="6">
        <v>92</v>
      </c>
      <c r="D58">
        <f>Future!C58</f>
        <v>92</v>
      </c>
      <c r="E58" s="6"/>
    </row>
    <row r="59" spans="1:5">
      <c r="A59" s="28">
        <v>2</v>
      </c>
      <c r="B59" t="s">
        <v>107</v>
      </c>
      <c r="C59" s="6">
        <v>51</v>
      </c>
      <c r="D59">
        <f>Future!C59</f>
        <v>51</v>
      </c>
      <c r="E59" s="6"/>
    </row>
    <row r="60" spans="1:5">
      <c r="A60" s="28">
        <v>3</v>
      </c>
      <c r="B60" t="s">
        <v>293</v>
      </c>
      <c r="C60" s="6">
        <v>479</v>
      </c>
      <c r="D60">
        <f>Future!C60</f>
        <v>454</v>
      </c>
      <c r="E60" s="6"/>
    </row>
    <row r="61" spans="1:5">
      <c r="A61" s="28">
        <v>4</v>
      </c>
      <c r="B61" t="s">
        <v>341</v>
      </c>
      <c r="C61" s="6">
        <v>512</v>
      </c>
      <c r="D61">
        <f>Future!C61</f>
        <v>519</v>
      </c>
      <c r="E61" s="6"/>
    </row>
    <row r="62" spans="1:5">
      <c r="A62" s="28">
        <v>5</v>
      </c>
      <c r="B62" t="s">
        <v>342</v>
      </c>
      <c r="C62" s="25">
        <v>113.5</v>
      </c>
      <c r="D62" s="27">
        <f>Future!C62</f>
        <v>167.5</v>
      </c>
      <c r="E62" s="26"/>
    </row>
    <row r="63" spans="1:5">
      <c r="A63" s="28" t="s">
        <v>20</v>
      </c>
      <c r="C63" s="6">
        <v>1249</v>
      </c>
      <c r="D63">
        <f>Future!C63</f>
        <v>1283.5</v>
      </c>
      <c r="E63" s="6"/>
    </row>
    <row r="64" spans="1:5">
      <c r="A64" s="3"/>
      <c r="C64" s="6"/>
      <c r="E64" s="6"/>
    </row>
    <row r="65" spans="1:13">
      <c r="A65" s="5" t="s">
        <v>343</v>
      </c>
    </row>
    <row r="66" spans="1:13">
      <c r="A66" s="28" t="s">
        <v>23</v>
      </c>
      <c r="B66" t="s">
        <v>24</v>
      </c>
      <c r="C66" s="6"/>
      <c r="E66" s="6"/>
    </row>
    <row r="67" spans="1:13">
      <c r="A67" s="28">
        <v>1</v>
      </c>
      <c r="B67" t="s">
        <v>27</v>
      </c>
      <c r="C67" s="6">
        <v>6.2</v>
      </c>
      <c r="D67">
        <f>Future!C67</f>
        <v>18.2</v>
      </c>
      <c r="E67" s="6"/>
    </row>
    <row r="68" spans="1:13">
      <c r="A68" s="28">
        <v>2</v>
      </c>
      <c r="B68" t="s">
        <v>107</v>
      </c>
      <c r="C68" s="6">
        <v>34.6</v>
      </c>
      <c r="D68">
        <f>Future!C68</f>
        <v>27</v>
      </c>
      <c r="E68" s="6"/>
    </row>
    <row r="69" spans="1:13">
      <c r="A69" s="28">
        <v>3</v>
      </c>
      <c r="B69" t="s">
        <v>293</v>
      </c>
      <c r="C69" s="6">
        <v>46.8</v>
      </c>
      <c r="D69">
        <f>Future!C69</f>
        <v>36.5</v>
      </c>
      <c r="E69" s="6"/>
    </row>
    <row r="70" spans="1:13">
      <c r="A70" s="28">
        <v>4</v>
      </c>
      <c r="B70" t="s">
        <v>341</v>
      </c>
      <c r="C70" s="6">
        <v>3.2</v>
      </c>
      <c r="D70">
        <f>Future!C70</f>
        <v>5.3</v>
      </c>
      <c r="E70" s="6"/>
    </row>
    <row r="71" spans="1:13">
      <c r="A71" s="28">
        <v>5</v>
      </c>
      <c r="B71" t="s">
        <v>342</v>
      </c>
      <c r="C71" s="25">
        <v>9.1</v>
      </c>
      <c r="D71" s="27">
        <f>Future!C71</f>
        <v>13</v>
      </c>
      <c r="E71" s="26"/>
    </row>
    <row r="72" spans="1:13">
      <c r="A72" s="28" t="s">
        <v>20</v>
      </c>
      <c r="C72" s="6">
        <v>100</v>
      </c>
      <c r="D72">
        <f>Future!C72</f>
        <v>100</v>
      </c>
      <c r="E72" s="6"/>
    </row>
    <row r="73" spans="1:13">
      <c r="A73" s="3"/>
    </row>
    <row r="74" spans="1:13">
      <c r="A74" s="1" t="s">
        <v>23</v>
      </c>
      <c r="B74" t="s">
        <v>24</v>
      </c>
      <c r="C74" t="s">
        <v>25</v>
      </c>
      <c r="D74" t="s">
        <v>25</v>
      </c>
      <c r="F74" s="5" t="s">
        <v>19</v>
      </c>
      <c r="G74" s="5" t="s">
        <v>19</v>
      </c>
      <c r="H74" s="5"/>
      <c r="I74" s="5" t="s">
        <v>235</v>
      </c>
      <c r="J74" s="5" t="s">
        <v>235</v>
      </c>
      <c r="L74" s="5" t="s">
        <v>26</v>
      </c>
      <c r="M74" s="5" t="s">
        <v>26</v>
      </c>
    </row>
    <row r="75" spans="1:13">
      <c r="A75" s="1">
        <v>1</v>
      </c>
      <c r="B75" t="s">
        <v>27</v>
      </c>
      <c r="C75">
        <v>212.6</v>
      </c>
      <c r="D75" s="5">
        <v>379.1</v>
      </c>
      <c r="F75" s="4">
        <f>'Blk 1'!D75</f>
        <v>1414.7</v>
      </c>
      <c r="G75" s="4">
        <f>Future!D75</f>
        <v>1417.2</v>
      </c>
      <c r="H75" s="4"/>
      <c r="I75" s="5" t="str">
        <f>'Blk 1'!E75</f>
        <v>T</v>
      </c>
      <c r="J75" s="5" t="str">
        <f>Future!E75</f>
        <v>T</v>
      </c>
      <c r="L75" s="5">
        <f>'Blk 1'!F75</f>
        <v>0</v>
      </c>
      <c r="M75">
        <f>Future!F75</f>
        <v>0</v>
      </c>
    </row>
    <row r="76" spans="1:13">
      <c r="A76" s="7">
        <v>1.1000000000000001</v>
      </c>
      <c r="B76" t="s">
        <v>31</v>
      </c>
      <c r="F76" s="107">
        <f>SUM('Blk 1'!D78:D79)</f>
        <v>179.7</v>
      </c>
      <c r="G76" s="107">
        <f>SUM(Future!D78:E79)</f>
        <v>181.9</v>
      </c>
      <c r="H76" s="114"/>
      <c r="I76" s="5" t="str">
        <f>'Blk 1'!E78</f>
        <v>D</v>
      </c>
      <c r="J76" s="5" t="str">
        <f>Future!E78</f>
        <v>D</v>
      </c>
      <c r="L76" s="5">
        <f>'Blk 1'!F78</f>
        <v>0</v>
      </c>
      <c r="M76">
        <f>Future!F78</f>
        <v>0</v>
      </c>
    </row>
    <row r="77" spans="1:13">
      <c r="A77" s="8">
        <v>1.1100000000000001</v>
      </c>
      <c r="B77" t="s">
        <v>32</v>
      </c>
      <c r="F77" s="108">
        <f>'Blk 1'!D80</f>
        <v>5.9</v>
      </c>
      <c r="G77" s="108">
        <f>Future!D80</f>
        <v>5.9</v>
      </c>
      <c r="H77" s="112"/>
      <c r="I77" s="5" t="str">
        <f>'Blk 1'!E80</f>
        <v>D</v>
      </c>
      <c r="J77" s="5" t="str">
        <f>Future!E80</f>
        <v>D</v>
      </c>
      <c r="L77" s="5">
        <f>'Blk 1'!F80</f>
        <v>0</v>
      </c>
      <c r="M77">
        <f>Future!F80</f>
        <v>0</v>
      </c>
    </row>
    <row r="78" spans="1:13">
      <c r="A78" s="9">
        <v>1.111</v>
      </c>
      <c r="B78" t="s">
        <v>33</v>
      </c>
      <c r="F78" s="4"/>
      <c r="G78" s="4"/>
      <c r="H78" s="113"/>
      <c r="I78" s="5" t="str">
        <f>'Blk 1'!E81</f>
        <v>E</v>
      </c>
      <c r="J78" s="5" t="str">
        <f>Future!E81</f>
        <v>E</v>
      </c>
      <c r="L78" s="5">
        <f>'Blk 1'!F81</f>
        <v>0</v>
      </c>
      <c r="M78">
        <f>Future!F81</f>
        <v>0</v>
      </c>
    </row>
    <row r="79" spans="1:13">
      <c r="A79" s="9">
        <v>1.1120000000000001</v>
      </c>
      <c r="B79" t="s">
        <v>34</v>
      </c>
      <c r="F79" s="4"/>
      <c r="G79" s="4"/>
      <c r="H79" s="4"/>
      <c r="I79" s="5" t="str">
        <f>'Blk 1'!E82</f>
        <v>E</v>
      </c>
      <c r="J79" s="5" t="str">
        <f>Future!E82</f>
        <v>E</v>
      </c>
      <c r="L79" s="5">
        <f>'Blk 1'!F82</f>
        <v>0</v>
      </c>
      <c r="M79">
        <f>Future!F82</f>
        <v>0</v>
      </c>
    </row>
    <row r="80" spans="1:13">
      <c r="A80" s="9">
        <v>1.113</v>
      </c>
      <c r="B80" t="s">
        <v>35</v>
      </c>
      <c r="F80" s="109">
        <f>'Blk 1'!D83</f>
        <v>5.9</v>
      </c>
      <c r="G80" s="109">
        <f>Future!D83</f>
        <v>5.9</v>
      </c>
      <c r="H80" s="117"/>
      <c r="I80" s="5" t="str">
        <f>'Blk 1'!E83</f>
        <v>D</v>
      </c>
      <c r="J80" s="5" t="str">
        <f>Future!E83</f>
        <v>D</v>
      </c>
      <c r="L80" s="5">
        <f>'Blk 1'!F83</f>
        <v>0</v>
      </c>
      <c r="M80">
        <f>Future!F83</f>
        <v>0</v>
      </c>
    </row>
    <row r="81" spans="1:13">
      <c r="A81" s="9">
        <v>1.1180000000000001</v>
      </c>
      <c r="B81" t="s">
        <v>1467</v>
      </c>
      <c r="F81" s="4"/>
      <c r="G81" s="4"/>
      <c r="H81" s="117"/>
    </row>
    <row r="82" spans="1:13">
      <c r="A82" s="8">
        <v>1.1200000000000001</v>
      </c>
      <c r="B82" t="s">
        <v>36</v>
      </c>
      <c r="F82" s="4"/>
      <c r="G82" s="4"/>
      <c r="H82" s="116"/>
      <c r="I82" s="5" t="str">
        <f>'Blk 1'!E84</f>
        <v>E</v>
      </c>
      <c r="J82" s="5" t="str">
        <f>Future!E84</f>
        <v>E</v>
      </c>
      <c r="L82" s="5">
        <f>'Blk 1'!F84</f>
        <v>0</v>
      </c>
      <c r="M82">
        <f>Future!F84</f>
        <v>0</v>
      </c>
    </row>
    <row r="83" spans="1:13">
      <c r="A83" s="9">
        <v>1.121</v>
      </c>
      <c r="B83" t="s">
        <v>37</v>
      </c>
      <c r="F83" s="4"/>
      <c r="G83" s="4"/>
      <c r="H83" s="117"/>
      <c r="I83" s="5" t="str">
        <f>'Blk 1'!E85</f>
        <v>E</v>
      </c>
      <c r="J83" s="5" t="str">
        <f>Future!E85</f>
        <v>E</v>
      </c>
      <c r="L83" s="5">
        <f>'Blk 1'!F85</f>
        <v>0</v>
      </c>
      <c r="M83">
        <f>Future!F85</f>
        <v>0</v>
      </c>
    </row>
    <row r="84" spans="1:13">
      <c r="A84" s="9">
        <v>1.1220000000000001</v>
      </c>
      <c r="B84" t="s">
        <v>38</v>
      </c>
      <c r="F84" s="4"/>
      <c r="G84" s="4"/>
      <c r="H84" s="117"/>
      <c r="I84" s="5" t="str">
        <f>'Blk 1'!E86</f>
        <v>E</v>
      </c>
      <c r="J84" s="5" t="str">
        <f>Future!E86</f>
        <v>E</v>
      </c>
      <c r="L84" s="5">
        <f>'Blk 1'!F86</f>
        <v>0</v>
      </c>
      <c r="M84">
        <f>Future!F86</f>
        <v>0</v>
      </c>
    </row>
    <row r="85" spans="1:13">
      <c r="A85" s="8">
        <v>1.1299999999999999</v>
      </c>
      <c r="B85" t="s">
        <v>39</v>
      </c>
      <c r="F85" s="108">
        <f>'Blk 1'!D87</f>
        <v>67.900000000000006</v>
      </c>
      <c r="G85" s="108">
        <f>Future!D87</f>
        <v>67.900000000000006</v>
      </c>
      <c r="H85" s="4"/>
      <c r="I85" s="5" t="str">
        <f>'Blk 1'!E87</f>
        <v>D</v>
      </c>
      <c r="J85" s="5" t="str">
        <f>Future!E87</f>
        <v>D</v>
      </c>
      <c r="L85" s="5">
        <f>'Blk 1'!F87</f>
        <v>0</v>
      </c>
      <c r="M85">
        <f>Future!F87</f>
        <v>0</v>
      </c>
    </row>
    <row r="86" spans="1:13">
      <c r="A86" s="9">
        <v>1.131</v>
      </c>
      <c r="B86" t="s">
        <v>40</v>
      </c>
      <c r="F86" s="4"/>
      <c r="G86" s="4"/>
      <c r="H86" s="4"/>
      <c r="I86" s="5" t="str">
        <f>'Blk 1'!E88</f>
        <v>E</v>
      </c>
      <c r="J86" s="5" t="str">
        <f>Future!E88</f>
        <v>E</v>
      </c>
      <c r="L86" s="5">
        <f>'Blk 1'!F88</f>
        <v>0</v>
      </c>
      <c r="M86">
        <f>Future!F88</f>
        <v>0</v>
      </c>
    </row>
    <row r="87" spans="1:13">
      <c r="A87" s="9">
        <v>1.1319999999999999</v>
      </c>
      <c r="B87" t="s">
        <v>41</v>
      </c>
      <c r="F87" s="110">
        <f>'Blk 1'!D89</f>
        <v>67.900000000000006</v>
      </c>
      <c r="G87" s="110">
        <f>Future!D89</f>
        <v>67.900000000000006</v>
      </c>
      <c r="H87" s="4"/>
      <c r="I87" s="5" t="str">
        <f>'Blk 1'!E89</f>
        <v>D</v>
      </c>
      <c r="J87" s="5" t="str">
        <f>Future!E89</f>
        <v>D</v>
      </c>
      <c r="L87" s="5">
        <f>'Blk 1'!F89</f>
        <v>0</v>
      </c>
      <c r="M87">
        <f>Future!F89</f>
        <v>0</v>
      </c>
    </row>
    <row r="88" spans="1:13">
      <c r="A88" s="10">
        <v>1.1321000000000001</v>
      </c>
      <c r="B88" t="s">
        <v>101</v>
      </c>
      <c r="F88" s="111">
        <f>'Blk 1'!D90</f>
        <v>60.9</v>
      </c>
      <c r="G88" s="111">
        <f>Future!D90</f>
        <v>60.9</v>
      </c>
      <c r="H88" s="4"/>
      <c r="I88" s="5" t="str">
        <f>'Blk 1'!E90</f>
        <v>D</v>
      </c>
      <c r="J88" s="5" t="str">
        <f>Future!E90</f>
        <v>D</v>
      </c>
      <c r="L88" s="5">
        <f>'Blk 1'!F90</f>
        <v>0</v>
      </c>
      <c r="M88">
        <f>Future!F90</f>
        <v>0</v>
      </c>
    </row>
    <row r="89" spans="1:13">
      <c r="A89" s="10">
        <v>1.1322000000000001</v>
      </c>
      <c r="B89" t="s">
        <v>102</v>
      </c>
      <c r="F89" s="111">
        <f>'Blk 1'!D91</f>
        <v>7</v>
      </c>
      <c r="G89" s="111">
        <f>Future!D91</f>
        <v>7</v>
      </c>
      <c r="H89" s="4"/>
      <c r="I89" s="5" t="str">
        <f>'Blk 1'!E91</f>
        <v>D</v>
      </c>
      <c r="J89" s="5" t="str">
        <f>Future!E91</f>
        <v>D</v>
      </c>
      <c r="L89" s="5">
        <f>'Blk 1'!F91</f>
        <v>0</v>
      </c>
      <c r="M89">
        <f>Future!F91</f>
        <v>0</v>
      </c>
    </row>
    <row r="90" spans="1:13">
      <c r="A90" s="9">
        <v>1.133</v>
      </c>
      <c r="B90" t="s">
        <v>42</v>
      </c>
      <c r="F90" s="5"/>
      <c r="G90" s="5"/>
      <c r="H90" s="4"/>
      <c r="I90" s="5" t="str">
        <f>'Blk 1'!E92</f>
        <v>E</v>
      </c>
      <c r="J90" s="5" t="str">
        <f>Future!E92</f>
        <v>E</v>
      </c>
      <c r="L90" s="5">
        <f>'Blk 1'!F92</f>
        <v>0</v>
      </c>
      <c r="M90">
        <f>Future!F92</f>
        <v>0</v>
      </c>
    </row>
    <row r="91" spans="1:13">
      <c r="A91" s="8">
        <v>1.1399999999999999</v>
      </c>
      <c r="B91" t="s">
        <v>43</v>
      </c>
      <c r="F91" s="5"/>
      <c r="G91" s="5"/>
      <c r="H91" s="116"/>
      <c r="I91" s="5" t="str">
        <f>'Blk 1'!E93</f>
        <v>E</v>
      </c>
      <c r="J91" s="5" t="str">
        <f>Future!E93</f>
        <v>E</v>
      </c>
      <c r="L91" s="5">
        <f>'Blk 1'!F93</f>
        <v>0</v>
      </c>
      <c r="M91">
        <f>Future!F93</f>
        <v>0</v>
      </c>
    </row>
    <row r="92" spans="1:13">
      <c r="A92" s="9">
        <v>1.141</v>
      </c>
      <c r="B92" t="s">
        <v>44</v>
      </c>
      <c r="F92" s="5"/>
      <c r="G92" s="5"/>
      <c r="H92" s="117"/>
      <c r="I92" s="5" t="str">
        <f>'Blk 1'!E94</f>
        <v>E</v>
      </c>
      <c r="J92" s="5" t="str">
        <f>Future!E94</f>
        <v>E</v>
      </c>
      <c r="L92" s="5">
        <f>'Blk 1'!F94</f>
        <v>0</v>
      </c>
      <c r="M92">
        <f>Future!F94</f>
        <v>0</v>
      </c>
    </row>
    <row r="93" spans="1:13">
      <c r="A93" s="9">
        <v>1.1419999999999999</v>
      </c>
      <c r="B93" t="s">
        <v>45</v>
      </c>
      <c r="F93" s="5"/>
      <c r="G93" s="5"/>
      <c r="H93" s="117"/>
      <c r="I93" s="5" t="str">
        <f>'Blk 1'!E95</f>
        <v>E</v>
      </c>
      <c r="J93" s="5" t="str">
        <f>Future!E95</f>
        <v>E</v>
      </c>
      <c r="L93" s="5">
        <f>'Blk 1'!F95</f>
        <v>0</v>
      </c>
      <c r="M93">
        <f>Future!F95</f>
        <v>0</v>
      </c>
    </row>
    <row r="94" spans="1:13">
      <c r="A94" s="9">
        <v>1.143</v>
      </c>
      <c r="B94" t="s">
        <v>46</v>
      </c>
      <c r="F94" s="5"/>
      <c r="G94" s="5"/>
      <c r="H94" s="117"/>
      <c r="I94" s="5" t="str">
        <f>'Blk 1'!E96</f>
        <v>E</v>
      </c>
      <c r="J94" s="5" t="str">
        <f>Future!E96</f>
        <v>E</v>
      </c>
      <c r="L94" s="5">
        <f>'Blk 1'!F96</f>
        <v>0</v>
      </c>
      <c r="M94">
        <f>Future!F96</f>
        <v>0</v>
      </c>
    </row>
    <row r="95" spans="1:13">
      <c r="A95" s="9">
        <v>1.1439999999999999</v>
      </c>
      <c r="B95" t="s">
        <v>1468</v>
      </c>
      <c r="F95" s="5"/>
      <c r="G95" s="5"/>
      <c r="H95" s="117"/>
    </row>
    <row r="96" spans="1:13">
      <c r="A96" s="8">
        <v>1.1499999999999999</v>
      </c>
      <c r="B96" t="s">
        <v>47</v>
      </c>
      <c r="F96" s="108">
        <f>'Blk 1'!D97</f>
        <v>105.8</v>
      </c>
      <c r="G96" s="108">
        <f>Future!D97</f>
        <v>108</v>
      </c>
      <c r="H96" s="116"/>
      <c r="I96" s="5" t="str">
        <f>'Blk 1'!E97</f>
        <v>E</v>
      </c>
      <c r="J96" s="5" t="str">
        <f>Future!E97</f>
        <v>E</v>
      </c>
      <c r="L96" s="5">
        <f>'Blk 1'!F97</f>
        <v>0</v>
      </c>
      <c r="M96">
        <f>Future!F97</f>
        <v>0</v>
      </c>
    </row>
    <row r="97" spans="1:13">
      <c r="A97" s="8">
        <v>1.1599999999999999</v>
      </c>
      <c r="B97" t="s">
        <v>48</v>
      </c>
      <c r="F97" s="5"/>
      <c r="G97" s="5"/>
      <c r="H97" s="5"/>
      <c r="I97" s="5" t="str">
        <f>'Blk 1'!E98</f>
        <v>E</v>
      </c>
      <c r="J97" s="5" t="str">
        <f>Future!E98</f>
        <v>E</v>
      </c>
      <c r="L97" s="5">
        <f>'Blk 1'!F98</f>
        <v>0</v>
      </c>
      <c r="M97">
        <f>Future!F98</f>
        <v>0</v>
      </c>
    </row>
    <row r="98" spans="1:13">
      <c r="A98" s="7">
        <v>1.2</v>
      </c>
      <c r="B98" t="s">
        <v>49</v>
      </c>
      <c r="F98" s="5"/>
      <c r="G98" s="5"/>
      <c r="H98" s="119"/>
      <c r="I98" s="5" t="str">
        <f>'Blk 1'!E99</f>
        <v>E</v>
      </c>
      <c r="J98" s="5" t="str">
        <f>Future!E99</f>
        <v>E</v>
      </c>
      <c r="L98" s="5">
        <f>'Blk 1'!F99</f>
        <v>0</v>
      </c>
      <c r="M98">
        <f>Future!F99</f>
        <v>0</v>
      </c>
    </row>
    <row r="99" spans="1:13">
      <c r="A99" s="8">
        <v>1.21</v>
      </c>
      <c r="B99" t="s">
        <v>50</v>
      </c>
      <c r="F99" s="5"/>
      <c r="G99" s="5"/>
      <c r="H99" s="120"/>
      <c r="I99" s="5" t="str">
        <f>'Blk 1'!E100</f>
        <v>E</v>
      </c>
      <c r="J99" s="5" t="str">
        <f>Future!E100</f>
        <v>E</v>
      </c>
      <c r="L99" s="5">
        <f>'Blk 1'!F100</f>
        <v>0</v>
      </c>
      <c r="M99">
        <f>Future!F100</f>
        <v>0</v>
      </c>
    </row>
    <row r="100" spans="1:13">
      <c r="A100" s="8">
        <v>1.22</v>
      </c>
      <c r="B100" t="s">
        <v>51</v>
      </c>
      <c r="F100" s="5"/>
      <c r="G100" s="5"/>
      <c r="H100" s="120"/>
      <c r="I100" s="5" t="str">
        <f>'Blk 1'!E101</f>
        <v>E</v>
      </c>
      <c r="J100" s="5" t="str">
        <f>Future!E101</f>
        <v>E</v>
      </c>
      <c r="L100" s="5">
        <f>'Blk 1'!F101</f>
        <v>0</v>
      </c>
      <c r="M100">
        <f>Future!F101</f>
        <v>0</v>
      </c>
    </row>
    <row r="101" spans="1:13">
      <c r="A101" s="8">
        <v>1.23</v>
      </c>
      <c r="B101" t="s">
        <v>52</v>
      </c>
      <c r="F101" s="5"/>
      <c r="G101" s="5"/>
      <c r="H101" s="120"/>
      <c r="I101" s="5" t="str">
        <f>'Blk 1'!E102</f>
        <v>E</v>
      </c>
      <c r="J101" s="5" t="str">
        <f>Future!E102</f>
        <v>E</v>
      </c>
      <c r="L101" s="5">
        <f>'Blk 1'!F102</f>
        <v>0</v>
      </c>
      <c r="M101">
        <f>Future!F102</f>
        <v>0</v>
      </c>
    </row>
    <row r="102" spans="1:13">
      <c r="A102" s="8">
        <v>1.24</v>
      </c>
      <c r="B102" t="s">
        <v>53</v>
      </c>
      <c r="F102" s="5"/>
      <c r="G102" s="5"/>
      <c r="H102" s="120"/>
      <c r="I102" s="5" t="str">
        <f>'Blk 1'!E103</f>
        <v>E</v>
      </c>
      <c r="J102" s="5" t="str">
        <f>Future!E103</f>
        <v>E</v>
      </c>
      <c r="L102" s="5">
        <f>'Blk 1'!F103</f>
        <v>0</v>
      </c>
      <c r="M102">
        <f>Future!F103</f>
        <v>0</v>
      </c>
    </row>
    <row r="103" spans="1:13">
      <c r="A103" s="8">
        <v>1.25</v>
      </c>
      <c r="B103" t="s">
        <v>54</v>
      </c>
      <c r="F103" s="5"/>
      <c r="G103" s="5"/>
      <c r="H103" s="118"/>
      <c r="I103" s="5" t="str">
        <f>'Blk 1'!E104</f>
        <v>E</v>
      </c>
      <c r="J103" s="5" t="str">
        <f>Future!E104</f>
        <v>E</v>
      </c>
      <c r="L103" s="5">
        <f>'Blk 1'!F104</f>
        <v>0</v>
      </c>
      <c r="M103">
        <f>Future!F104</f>
        <v>0</v>
      </c>
    </row>
    <row r="104" spans="1:13">
      <c r="A104" s="8">
        <v>1.26</v>
      </c>
      <c r="B104" t="s">
        <v>55</v>
      </c>
      <c r="F104" s="5"/>
      <c r="G104" s="5"/>
      <c r="H104" s="118"/>
      <c r="I104" s="5" t="str">
        <f>'Blk 1'!E105</f>
        <v>E</v>
      </c>
      <c r="J104" s="5" t="str">
        <f>Future!E105</f>
        <v>E</v>
      </c>
      <c r="L104" s="5">
        <f>'Blk 1'!F105</f>
        <v>0</v>
      </c>
      <c r="M104">
        <f>Future!F105</f>
        <v>0</v>
      </c>
    </row>
    <row r="105" spans="1:13">
      <c r="A105" s="8">
        <v>1.27</v>
      </c>
      <c r="B105" t="s">
        <v>56</v>
      </c>
      <c r="F105" s="5"/>
      <c r="G105" s="5"/>
      <c r="H105" s="118"/>
      <c r="I105" s="5" t="str">
        <f>'Blk 1'!E106</f>
        <v>E</v>
      </c>
      <c r="J105" s="5" t="str">
        <f>Future!E106</f>
        <v>E</v>
      </c>
      <c r="L105" s="5">
        <f>'Blk 1'!F106</f>
        <v>0</v>
      </c>
      <c r="M105">
        <f>Future!F106</f>
        <v>0</v>
      </c>
    </row>
    <row r="106" spans="1:13">
      <c r="A106" s="8">
        <v>1.28</v>
      </c>
      <c r="B106" t="s">
        <v>57</v>
      </c>
      <c r="F106" s="5"/>
      <c r="G106" s="5"/>
      <c r="H106" s="120"/>
      <c r="I106" s="5" t="str">
        <f>'Blk 1'!E107</f>
        <v>E</v>
      </c>
      <c r="J106" s="5" t="str">
        <f>Future!E107</f>
        <v>E</v>
      </c>
      <c r="L106" s="5">
        <f>'Blk 1'!F107</f>
        <v>0</v>
      </c>
      <c r="M106">
        <f>Future!F107</f>
        <v>0</v>
      </c>
    </row>
    <row r="107" spans="1:13">
      <c r="A107" s="7">
        <v>1.3</v>
      </c>
      <c r="B107" t="s">
        <v>58</v>
      </c>
      <c r="C107">
        <v>212.6</v>
      </c>
      <c r="D107">
        <f>Future!C108</f>
        <v>212.6</v>
      </c>
      <c r="F107" s="5">
        <f>SUM('Blk 1'!D108:D109)</f>
        <v>439.1</v>
      </c>
      <c r="G107" s="5">
        <f>SUM(Future!D108:E109)</f>
        <v>439.1</v>
      </c>
      <c r="H107" s="5"/>
      <c r="I107" s="5" t="str">
        <f>'Blk 1'!E108</f>
        <v>D</v>
      </c>
      <c r="J107" s="5" t="str">
        <f>Future!E108</f>
        <v>D</v>
      </c>
      <c r="L107" s="5">
        <f>'Blk 1'!F108</f>
        <v>0</v>
      </c>
      <c r="M107">
        <f>Future!F108</f>
        <v>0</v>
      </c>
    </row>
    <row r="108" spans="1:13">
      <c r="A108" s="7">
        <v>1.31</v>
      </c>
      <c r="B108" t="s">
        <v>59</v>
      </c>
      <c r="F108" s="5"/>
      <c r="G108" s="5"/>
      <c r="H108" s="5"/>
      <c r="I108" s="5" t="str">
        <f>'Blk 1'!E110</f>
        <v>E</v>
      </c>
      <c r="J108" s="5" t="str">
        <f>Future!E110</f>
        <v>E</v>
      </c>
      <c r="L108" s="5">
        <f>'Blk 1'!F110</f>
        <v>0</v>
      </c>
      <c r="M108">
        <f>Future!F110</f>
        <v>0</v>
      </c>
    </row>
    <row r="109" spans="1:13">
      <c r="A109" s="8">
        <v>1.3109999999999999</v>
      </c>
      <c r="B109" t="s">
        <v>60</v>
      </c>
      <c r="F109" s="5"/>
      <c r="G109" s="5"/>
      <c r="H109" s="5"/>
      <c r="I109" s="5" t="str">
        <f>'Blk 1'!E111</f>
        <v>E</v>
      </c>
      <c r="J109" s="5" t="str">
        <f>Future!E111</f>
        <v>E</v>
      </c>
      <c r="L109" s="5">
        <f>'Blk 1'!F111</f>
        <v>0</v>
      </c>
      <c r="M109">
        <f>Future!F111</f>
        <v>0</v>
      </c>
    </row>
    <row r="110" spans="1:13">
      <c r="A110" s="9">
        <v>1.3111999999999999</v>
      </c>
      <c r="B110" t="s">
        <v>103</v>
      </c>
      <c r="F110" s="5"/>
      <c r="G110" s="5"/>
      <c r="H110" s="5"/>
      <c r="I110" s="5" t="str">
        <f>'Blk 1'!E112</f>
        <v>E</v>
      </c>
      <c r="J110" s="5" t="str">
        <f>Future!E112</f>
        <v>E</v>
      </c>
      <c r="L110" s="5">
        <f>'Blk 1'!F112</f>
        <v>0</v>
      </c>
      <c r="M110">
        <f>Future!F112</f>
        <v>0</v>
      </c>
    </row>
    <row r="111" spans="1:13">
      <c r="A111" s="8">
        <v>1.3120000000000001</v>
      </c>
      <c r="B111" t="s">
        <v>61</v>
      </c>
      <c r="F111" s="5"/>
      <c r="G111" s="5"/>
      <c r="H111" s="109"/>
      <c r="I111" s="5" t="str">
        <f>'Blk 1'!E113</f>
        <v>E</v>
      </c>
      <c r="J111" s="5" t="str">
        <f>Future!E113</f>
        <v>E</v>
      </c>
      <c r="L111" s="5">
        <f>'Blk 1'!F113</f>
        <v>0</v>
      </c>
      <c r="M111">
        <f>Future!F113</f>
        <v>0</v>
      </c>
    </row>
    <row r="112" spans="1:13">
      <c r="A112" s="9">
        <v>1.3123</v>
      </c>
      <c r="B112" t="s">
        <v>62</v>
      </c>
      <c r="F112" s="5"/>
      <c r="G112" s="5"/>
      <c r="H112" s="122"/>
      <c r="I112" s="5" t="str">
        <f>'Blk 1'!E114</f>
        <v>E</v>
      </c>
      <c r="J112" s="5" t="str">
        <f>Future!E114</f>
        <v>E</v>
      </c>
      <c r="L112" s="5">
        <f>'Blk 1'!F114</f>
        <v>0</v>
      </c>
      <c r="M112">
        <f>Future!F114</f>
        <v>0</v>
      </c>
    </row>
    <row r="113" spans="1:13">
      <c r="A113" s="7">
        <v>1.32</v>
      </c>
      <c r="B113" t="s">
        <v>63</v>
      </c>
      <c r="F113" s="116">
        <f>'Blk 1'!D115</f>
        <v>9.3000000000000007</v>
      </c>
      <c r="G113" s="116">
        <f>Future!D115</f>
        <v>9.3000000000000007</v>
      </c>
      <c r="H113" s="116"/>
      <c r="I113" s="5" t="str">
        <f>'Blk 1'!E115</f>
        <v>D</v>
      </c>
      <c r="J113" s="5" t="str">
        <f>Future!E115</f>
        <v>D</v>
      </c>
      <c r="L113" s="5">
        <f>'Blk 1'!F115</f>
        <v>0</v>
      </c>
      <c r="M113">
        <f>Future!F115</f>
        <v>0</v>
      </c>
    </row>
    <row r="114" spans="1:13">
      <c r="A114" s="8">
        <v>1.321</v>
      </c>
      <c r="B114" t="s">
        <v>64</v>
      </c>
      <c r="F114" s="117">
        <f>'Blk 1'!D116</f>
        <v>9.3000000000000007</v>
      </c>
      <c r="G114" s="117">
        <f>Future!D116</f>
        <v>9.3000000000000007</v>
      </c>
      <c r="H114" s="117"/>
      <c r="I114" s="5" t="str">
        <f>'Blk 1'!E116</f>
        <v>D</v>
      </c>
      <c r="J114" s="5" t="str">
        <f>Future!E116</f>
        <v>D</v>
      </c>
      <c r="L114" s="5">
        <f>'Blk 1'!F116</f>
        <v>0</v>
      </c>
      <c r="M114">
        <f>Future!F116</f>
        <v>0</v>
      </c>
    </row>
    <row r="115" spans="1:13">
      <c r="A115" s="9">
        <v>1.3211999999999999</v>
      </c>
      <c r="B115" t="s">
        <v>65</v>
      </c>
      <c r="F115" s="123">
        <f>'Blk 1'!D117</f>
        <v>9.3000000000000007</v>
      </c>
      <c r="G115" s="123">
        <f>Future!D117</f>
        <v>9.3000000000000007</v>
      </c>
      <c r="H115" s="123"/>
      <c r="I115" s="5" t="str">
        <f>'Blk 1'!E117</f>
        <v>D</v>
      </c>
      <c r="J115" s="5" t="str">
        <f>Future!E117</f>
        <v>D</v>
      </c>
      <c r="L115" s="5">
        <f>'Blk 1'!F117</f>
        <v>0</v>
      </c>
      <c r="M115">
        <f>Future!F117</f>
        <v>0</v>
      </c>
    </row>
    <row r="116" spans="1:13">
      <c r="A116" s="10">
        <v>1.3212010000000001</v>
      </c>
      <c r="B116" t="s">
        <v>104</v>
      </c>
      <c r="F116" s="124">
        <f>'Blk 1'!D118</f>
        <v>9.3000000000000007</v>
      </c>
      <c r="G116" s="124">
        <f>Future!D118</f>
        <v>9.3000000000000007</v>
      </c>
      <c r="H116" s="124"/>
      <c r="I116" s="5" t="str">
        <f>'Blk 1'!E118</f>
        <v>D</v>
      </c>
      <c r="J116" s="5" t="str">
        <f>Future!E118</f>
        <v>D</v>
      </c>
      <c r="L116" s="5">
        <f>'Blk 1'!F118</f>
        <v>1</v>
      </c>
      <c r="M116">
        <f>Future!F118</f>
        <v>1</v>
      </c>
    </row>
    <row r="117" spans="1:13">
      <c r="A117" s="8">
        <v>1.3220000000000001</v>
      </c>
      <c r="B117" t="s">
        <v>66</v>
      </c>
      <c r="F117" s="5"/>
      <c r="G117" s="5"/>
      <c r="H117" s="5"/>
      <c r="I117" s="5" t="str">
        <f>'Blk 1'!E119</f>
        <v>E</v>
      </c>
      <c r="J117" s="5" t="str">
        <f>Future!E119</f>
        <v>E</v>
      </c>
      <c r="L117" s="5">
        <f>'Blk 1'!F119</f>
        <v>0</v>
      </c>
      <c r="M117">
        <f>Future!F119</f>
        <v>0</v>
      </c>
    </row>
    <row r="118" spans="1:13">
      <c r="A118" s="8">
        <v>1.323</v>
      </c>
      <c r="B118" t="s">
        <v>67</v>
      </c>
      <c r="F118" s="5"/>
      <c r="G118" s="5"/>
      <c r="H118" s="5"/>
      <c r="I118" s="5" t="str">
        <f>'Blk 1'!E120</f>
        <v>E</v>
      </c>
      <c r="J118" s="5" t="str">
        <f>Future!E120</f>
        <v>E</v>
      </c>
      <c r="L118" s="5">
        <f>'Blk 1'!F120</f>
        <v>0</v>
      </c>
      <c r="M118">
        <f>Future!F120</f>
        <v>0</v>
      </c>
    </row>
    <row r="119" spans="1:13">
      <c r="A119" s="7">
        <v>1.33</v>
      </c>
      <c r="B119" t="s">
        <v>68</v>
      </c>
      <c r="F119" s="5"/>
      <c r="G119" s="5"/>
      <c r="H119" s="5"/>
      <c r="I119" s="5" t="str">
        <f>'Blk 1'!E121</f>
        <v>E</v>
      </c>
      <c r="J119" s="5" t="str">
        <f>Future!E121</f>
        <v>E</v>
      </c>
      <c r="L119" s="5">
        <f>'Blk 1'!F121</f>
        <v>0</v>
      </c>
      <c r="M119">
        <f>Future!F121</f>
        <v>0</v>
      </c>
    </row>
    <row r="120" spans="1:13">
      <c r="A120" s="8">
        <v>1.331</v>
      </c>
      <c r="B120" t="s">
        <v>69</v>
      </c>
      <c r="F120" s="5"/>
      <c r="G120" s="5"/>
      <c r="H120" s="117"/>
      <c r="I120" s="5" t="str">
        <f>'Blk 1'!E122</f>
        <v>E</v>
      </c>
      <c r="J120" s="5" t="str">
        <f>Future!E122</f>
        <v>E</v>
      </c>
      <c r="L120" s="5">
        <f>'Blk 1'!F122</f>
        <v>0</v>
      </c>
      <c r="M120">
        <f>Future!F122</f>
        <v>0</v>
      </c>
    </row>
    <row r="121" spans="1:13">
      <c r="A121" s="8">
        <v>1.3320000000000001</v>
      </c>
      <c r="B121" t="s">
        <v>70</v>
      </c>
      <c r="F121" s="5"/>
      <c r="G121" s="5"/>
      <c r="H121" s="110"/>
      <c r="I121" s="5" t="str">
        <f>'Blk 1'!E123</f>
        <v>E</v>
      </c>
      <c r="J121" s="5" t="str">
        <f>Future!E123</f>
        <v>E</v>
      </c>
      <c r="L121" s="5">
        <f>'Blk 1'!F123</f>
        <v>0</v>
      </c>
      <c r="M121">
        <f>Future!F123</f>
        <v>0</v>
      </c>
    </row>
    <row r="122" spans="1:13">
      <c r="A122" s="8">
        <v>1.3340000000000001</v>
      </c>
      <c r="B122" t="s">
        <v>71</v>
      </c>
      <c r="F122" s="5"/>
      <c r="G122" s="5"/>
      <c r="H122" s="110"/>
      <c r="I122" s="5" t="str">
        <f>'Blk 1'!E124</f>
        <v>E</v>
      </c>
      <c r="J122" s="5" t="str">
        <f>Future!E124</f>
        <v>E</v>
      </c>
      <c r="L122" s="5">
        <f>'Blk 1'!F124</f>
        <v>0</v>
      </c>
      <c r="M122">
        <f>Future!F124</f>
        <v>0</v>
      </c>
    </row>
    <row r="123" spans="1:13">
      <c r="A123" s="7">
        <v>1.34</v>
      </c>
      <c r="B123" t="s">
        <v>72</v>
      </c>
      <c r="F123" s="5"/>
      <c r="G123" s="5"/>
      <c r="H123" s="120"/>
      <c r="I123" s="5" t="str">
        <f>'Blk 1'!E125</f>
        <v>E</v>
      </c>
      <c r="J123" s="5" t="str">
        <f>Future!E125</f>
        <v>E</v>
      </c>
      <c r="L123" s="5">
        <f>'Blk 1'!F125</f>
        <v>0</v>
      </c>
      <c r="M123">
        <f>Future!F125</f>
        <v>0</v>
      </c>
    </row>
    <row r="124" spans="1:13">
      <c r="A124" s="8">
        <v>1.3420000000000001</v>
      </c>
      <c r="B124" t="s">
        <v>105</v>
      </c>
      <c r="F124" s="5"/>
      <c r="G124" s="5"/>
      <c r="H124" s="5"/>
      <c r="I124" s="5" t="str">
        <f>'Blk 1'!E126</f>
        <v>E</v>
      </c>
      <c r="J124" s="5" t="str">
        <f>Future!E126</f>
        <v>E</v>
      </c>
      <c r="L124" s="5">
        <f>'Blk 1'!F126</f>
        <v>0</v>
      </c>
      <c r="M124">
        <f>Future!F126</f>
        <v>0</v>
      </c>
    </row>
    <row r="125" spans="1:13">
      <c r="A125" s="7">
        <v>1.35</v>
      </c>
      <c r="B125" t="s">
        <v>73</v>
      </c>
      <c r="F125" s="5"/>
      <c r="G125" s="5"/>
      <c r="H125" s="5"/>
      <c r="I125" s="5" t="str">
        <f>'Blk 1'!E127</f>
        <v>E</v>
      </c>
      <c r="J125" s="5" t="str">
        <f>Future!E127</f>
        <v>E</v>
      </c>
      <c r="L125" s="5">
        <f>'Blk 1'!F127</f>
        <v>0</v>
      </c>
      <c r="M125">
        <f>Future!F127</f>
        <v>0</v>
      </c>
    </row>
    <row r="126" spans="1:13">
      <c r="A126" s="8">
        <v>1.353</v>
      </c>
      <c r="B126" t="s">
        <v>74</v>
      </c>
      <c r="F126" s="5"/>
      <c r="G126" s="5"/>
      <c r="H126" s="109"/>
      <c r="I126" s="5" t="str">
        <f>'Blk 1'!E128</f>
        <v>E</v>
      </c>
      <c r="J126" s="5" t="str">
        <f>Future!E128</f>
        <v>E</v>
      </c>
      <c r="L126" s="5">
        <f>'Blk 1'!F128</f>
        <v>0</v>
      </c>
      <c r="M126">
        <f>Future!F128</f>
        <v>0</v>
      </c>
    </row>
    <row r="127" spans="1:13">
      <c r="A127" s="7">
        <v>1.36</v>
      </c>
      <c r="B127" t="s">
        <v>75</v>
      </c>
      <c r="F127" s="5"/>
      <c r="G127" s="5"/>
      <c r="H127" s="120"/>
      <c r="I127" s="5" t="str">
        <f>'Blk 1'!E129</f>
        <v>E</v>
      </c>
      <c r="J127" s="5" t="str">
        <f>Future!E129</f>
        <v>E</v>
      </c>
      <c r="L127" s="5">
        <f>'Blk 1'!F129</f>
        <v>0</v>
      </c>
      <c r="M127">
        <f>Future!F129</f>
        <v>0</v>
      </c>
    </row>
    <row r="128" spans="1:13">
      <c r="A128" s="8">
        <v>1.361</v>
      </c>
      <c r="B128" t="s">
        <v>76</v>
      </c>
      <c r="F128" s="5"/>
      <c r="G128" s="5"/>
      <c r="H128" s="5"/>
      <c r="I128" s="5" t="str">
        <f>'Blk 1'!E130</f>
        <v>E</v>
      </c>
      <c r="J128" s="5" t="str">
        <f>Future!E130</f>
        <v>E</v>
      </c>
      <c r="L128" s="5">
        <f>'Blk 1'!F130</f>
        <v>0</v>
      </c>
      <c r="M128">
        <f>Future!F130</f>
        <v>0</v>
      </c>
    </row>
    <row r="129" spans="1:13">
      <c r="A129" s="8">
        <v>1.369</v>
      </c>
      <c r="B129" t="s">
        <v>106</v>
      </c>
      <c r="F129" s="5"/>
      <c r="G129" s="5"/>
      <c r="H129" s="109"/>
      <c r="I129" s="5" t="str">
        <f>'Blk 1'!E131</f>
        <v>E</v>
      </c>
      <c r="J129" s="5" t="str">
        <f>Future!E131</f>
        <v>E</v>
      </c>
      <c r="L129" s="5">
        <f>'Blk 1'!F131</f>
        <v>0</v>
      </c>
      <c r="M129">
        <f>Future!F131</f>
        <v>0</v>
      </c>
    </row>
    <row r="130" spans="1:13">
      <c r="A130" s="7">
        <v>1.37</v>
      </c>
      <c r="B130" t="s">
        <v>77</v>
      </c>
      <c r="F130" s="5">
        <f>'Blk 1'!D132</f>
        <v>179.9</v>
      </c>
      <c r="G130" s="5">
        <f>Future!D132</f>
        <v>179.9</v>
      </c>
      <c r="H130" s="5"/>
      <c r="I130" s="5" t="str">
        <f>'Blk 1'!E132</f>
        <v>E</v>
      </c>
      <c r="J130" s="5" t="str">
        <f>Future!E132</f>
        <v>E</v>
      </c>
      <c r="L130" s="5">
        <f>'Blk 1'!F132</f>
        <v>0</v>
      </c>
      <c r="M130">
        <f>Future!F132</f>
        <v>0</v>
      </c>
    </row>
    <row r="131" spans="1:13">
      <c r="A131" s="8">
        <v>1.3720000000000001</v>
      </c>
      <c r="B131" t="s">
        <v>78</v>
      </c>
      <c r="F131" s="5"/>
      <c r="G131" s="5"/>
      <c r="H131" s="5"/>
      <c r="I131" s="5" t="str">
        <f>'Blk 1'!E133</f>
        <v>E</v>
      </c>
      <c r="J131" s="5" t="str">
        <f>Future!E133</f>
        <v>E</v>
      </c>
      <c r="L131" s="5">
        <f>'Blk 1'!F133</f>
        <v>0</v>
      </c>
      <c r="M131">
        <f>Future!F133</f>
        <v>0</v>
      </c>
    </row>
    <row r="132" spans="1:13">
      <c r="A132" s="8">
        <v>1.373</v>
      </c>
      <c r="B132" t="s">
        <v>79</v>
      </c>
      <c r="F132" s="5"/>
      <c r="G132" s="5"/>
      <c r="H132" s="5"/>
      <c r="I132" s="5" t="str">
        <f>'Blk 1'!E134</f>
        <v>E</v>
      </c>
      <c r="J132" s="5" t="str">
        <f>Future!E134</f>
        <v>E</v>
      </c>
      <c r="L132" s="5">
        <f>'Blk 1'!F134</f>
        <v>0</v>
      </c>
      <c r="M132">
        <f>Future!F134</f>
        <v>0</v>
      </c>
    </row>
    <row r="133" spans="1:13">
      <c r="A133" s="8">
        <v>1.3740000000000001</v>
      </c>
      <c r="B133" t="s">
        <v>80</v>
      </c>
      <c r="F133" s="5">
        <f>'Blk 1'!D135</f>
        <v>179.9</v>
      </c>
      <c r="G133" s="5">
        <f>Future!D135</f>
        <v>179.9</v>
      </c>
      <c r="H133" s="109"/>
      <c r="I133" s="5" t="str">
        <f>'Blk 1'!E135</f>
        <v>E</v>
      </c>
      <c r="J133" s="5" t="str">
        <f>Future!E135</f>
        <v>E</v>
      </c>
      <c r="L133" s="5">
        <f>'Blk 1'!F135</f>
        <v>0</v>
      </c>
      <c r="M133">
        <f>Future!F135</f>
        <v>0</v>
      </c>
    </row>
    <row r="134" spans="1:13">
      <c r="A134" s="7">
        <v>1.38</v>
      </c>
      <c r="B134" t="s">
        <v>81</v>
      </c>
      <c r="C134" s="108">
        <v>212.6</v>
      </c>
      <c r="D134" s="108">
        <f>'Blk 1'!C136</f>
        <v>212.6</v>
      </c>
      <c r="F134" s="5"/>
      <c r="G134" s="5"/>
      <c r="H134" s="4"/>
      <c r="I134" s="5" t="str">
        <f>'Blk 1'!E136</f>
        <v>E</v>
      </c>
      <c r="J134" s="5" t="str">
        <f>Future!E136</f>
        <v>E</v>
      </c>
      <c r="L134" s="5">
        <f>'Blk 1'!F136</f>
        <v>0</v>
      </c>
      <c r="M134">
        <f>Future!F136</f>
        <v>0</v>
      </c>
    </row>
    <row r="135" spans="1:13">
      <c r="A135" s="8">
        <v>1.381</v>
      </c>
      <c r="B135" t="s">
        <v>82</v>
      </c>
      <c r="C135" s="109">
        <v>212.6</v>
      </c>
      <c r="D135" s="109">
        <f>'Blk 1'!C137</f>
        <v>212.6</v>
      </c>
      <c r="F135" s="5"/>
      <c r="G135" s="5"/>
      <c r="H135" s="118"/>
      <c r="I135" s="5" t="str">
        <f>'Blk 1'!E137</f>
        <v>E</v>
      </c>
      <c r="J135" s="5" t="str">
        <f>Future!E137</f>
        <v>E</v>
      </c>
      <c r="L135" s="5">
        <f>'Blk 1'!F137</f>
        <v>0</v>
      </c>
      <c r="M135">
        <f>Future!F137</f>
        <v>0</v>
      </c>
    </row>
    <row r="136" spans="1:13">
      <c r="A136" s="9">
        <v>1.3811</v>
      </c>
      <c r="B136" t="s">
        <v>83</v>
      </c>
      <c r="C136" s="122"/>
      <c r="D136" s="122"/>
      <c r="E136" s="122"/>
      <c r="F136" s="5"/>
      <c r="G136" s="5"/>
      <c r="I136" s="5" t="str">
        <f>'Blk 1'!E138</f>
        <v>E</v>
      </c>
      <c r="J136" s="5" t="str">
        <f>Future!E138</f>
        <v>E</v>
      </c>
      <c r="L136" s="5">
        <f>'Blk 1'!F138</f>
        <v>0</v>
      </c>
      <c r="M136">
        <f>Future!F138</f>
        <v>0</v>
      </c>
    </row>
    <row r="137" spans="1:13">
      <c r="A137" s="9">
        <v>1.3812</v>
      </c>
      <c r="B137" t="s">
        <v>84</v>
      </c>
      <c r="C137" s="122"/>
      <c r="D137" s="122"/>
      <c r="E137" s="122"/>
      <c r="F137" s="5"/>
      <c r="G137" s="5"/>
      <c r="I137" s="5" t="str">
        <f>'Blk 1'!E139</f>
        <v>E</v>
      </c>
      <c r="J137" s="5" t="str">
        <f>Future!E139</f>
        <v>E</v>
      </c>
      <c r="L137" s="5">
        <f>'Blk 1'!F139</f>
        <v>0</v>
      </c>
      <c r="M137">
        <f>Future!F139</f>
        <v>0</v>
      </c>
    </row>
    <row r="138" spans="1:13">
      <c r="A138" s="9">
        <v>1.3813</v>
      </c>
      <c r="B138" t="s">
        <v>85</v>
      </c>
      <c r="C138" s="122">
        <v>212.6</v>
      </c>
      <c r="D138" s="122">
        <f>'Blk 1'!C140</f>
        <v>212.6</v>
      </c>
      <c r="E138" s="122"/>
      <c r="F138" s="5"/>
      <c r="G138" s="5"/>
      <c r="I138" s="5" t="str">
        <f>'Blk 1'!E140</f>
        <v>E</v>
      </c>
      <c r="J138" s="5" t="str">
        <f>Future!E140</f>
        <v>E</v>
      </c>
      <c r="L138" s="5">
        <f>'Blk 1'!F140</f>
        <v>0</v>
      </c>
      <c r="M138">
        <f>Future!F140</f>
        <v>0</v>
      </c>
    </row>
    <row r="139" spans="1:13">
      <c r="A139" s="7">
        <v>1.39</v>
      </c>
      <c r="B139" t="s">
        <v>86</v>
      </c>
      <c r="F139" s="5"/>
      <c r="G139" s="5"/>
      <c r="H139" s="4"/>
      <c r="I139" s="5" t="str">
        <f>'Blk 1'!E141</f>
        <v>E</v>
      </c>
      <c r="J139" s="5" t="str">
        <f>Future!E141</f>
        <v>E</v>
      </c>
      <c r="L139" s="5">
        <f>'Blk 1'!F141</f>
        <v>0</v>
      </c>
      <c r="M139">
        <f>Future!F141</f>
        <v>0</v>
      </c>
    </row>
    <row r="140" spans="1:13">
      <c r="A140" s="8">
        <v>1.391</v>
      </c>
      <c r="B140" t="s">
        <v>87</v>
      </c>
      <c r="F140" s="5"/>
      <c r="G140" s="5"/>
      <c r="H140" s="5"/>
      <c r="I140" s="5" t="str">
        <f>'Blk 1'!E142</f>
        <v>E</v>
      </c>
      <c r="J140" s="5" t="str">
        <f>Future!E142</f>
        <v>E</v>
      </c>
      <c r="L140" s="5">
        <f>'Blk 1'!F142</f>
        <v>0</v>
      </c>
      <c r="M140">
        <f>Future!F142</f>
        <v>0</v>
      </c>
    </row>
    <row r="141" spans="1:13">
      <c r="A141" s="9">
        <v>1.3911</v>
      </c>
      <c r="B141" t="s">
        <v>88</v>
      </c>
      <c r="F141" s="5"/>
      <c r="G141" s="5"/>
      <c r="H141" s="5"/>
      <c r="I141" s="5" t="str">
        <f>'Blk 1'!E143</f>
        <v>E</v>
      </c>
      <c r="J141" s="5" t="str">
        <f>Future!E143</f>
        <v>E</v>
      </c>
      <c r="L141" s="5">
        <f>'Blk 1'!F143</f>
        <v>0</v>
      </c>
      <c r="M141">
        <f>Future!F143</f>
        <v>0</v>
      </c>
    </row>
    <row r="142" spans="1:13">
      <c r="A142" s="7">
        <v>1.5</v>
      </c>
      <c r="B142" t="s">
        <v>89</v>
      </c>
      <c r="F142" s="5"/>
      <c r="G142" s="5"/>
      <c r="H142" s="5"/>
      <c r="I142" s="5" t="str">
        <f>'Blk 1'!E144</f>
        <v>E</v>
      </c>
      <c r="J142" s="5" t="str">
        <f>Future!E144</f>
        <v>E</v>
      </c>
      <c r="L142" s="5">
        <f>'Blk 1'!F144</f>
        <v>0</v>
      </c>
      <c r="M142">
        <f>Future!F144</f>
        <v>0</v>
      </c>
    </row>
    <row r="143" spans="1:13">
      <c r="A143" s="9">
        <v>1.5310999999999999</v>
      </c>
      <c r="B143" t="s">
        <v>90</v>
      </c>
      <c r="F143" s="5"/>
      <c r="G143" s="5"/>
      <c r="H143" s="5"/>
      <c r="I143" s="5" t="str">
        <f>'Blk 1'!E145</f>
        <v>E</v>
      </c>
      <c r="J143" s="5" t="str">
        <f>Future!E145</f>
        <v>E</v>
      </c>
      <c r="L143" s="5">
        <f>'Blk 1'!F145</f>
        <v>0</v>
      </c>
      <c r="M143">
        <f>Future!F145</f>
        <v>0</v>
      </c>
    </row>
    <row r="144" spans="1:13">
      <c r="A144" s="7">
        <v>1.6</v>
      </c>
      <c r="B144" t="s">
        <v>91</v>
      </c>
      <c r="F144" s="5"/>
      <c r="G144" s="5"/>
      <c r="H144" s="5"/>
      <c r="I144" s="5" t="str">
        <f>'Blk 1'!E146</f>
        <v>E</v>
      </c>
      <c r="J144" s="5" t="str">
        <f>Future!E146</f>
        <v>E</v>
      </c>
      <c r="L144" s="5">
        <f>'Blk 1'!F146</f>
        <v>0</v>
      </c>
      <c r="M144">
        <f>Future!F146</f>
        <v>0</v>
      </c>
    </row>
    <row r="145" spans="1:13">
      <c r="A145" s="7">
        <v>1.7</v>
      </c>
      <c r="B145" t="s">
        <v>92</v>
      </c>
      <c r="F145" s="5">
        <f>SUM('Blk 1'!D147:D148)</f>
        <v>16.200000000000003</v>
      </c>
      <c r="G145" s="5">
        <f>SUM(Future!D147:E148)</f>
        <v>16.3</v>
      </c>
      <c r="H145" s="5"/>
      <c r="I145" s="5" t="str">
        <f>'Blk 1'!E147</f>
        <v>D</v>
      </c>
      <c r="J145" s="5" t="str">
        <f>Future!E147</f>
        <v>D</v>
      </c>
      <c r="L145" s="5">
        <f>'Blk 1'!F147</f>
        <v>0</v>
      </c>
      <c r="M145">
        <f>Future!F147</f>
        <v>0</v>
      </c>
    </row>
    <row r="146" spans="1:13">
      <c r="A146" s="8">
        <v>1.71</v>
      </c>
      <c r="B146" t="s">
        <v>67</v>
      </c>
      <c r="F146" s="5"/>
      <c r="G146" s="5"/>
      <c r="H146" s="5"/>
      <c r="I146" s="5" t="str">
        <f>'Blk 1'!E149</f>
        <v>E</v>
      </c>
      <c r="J146" s="5" t="str">
        <f>Future!E149</f>
        <v>E</v>
      </c>
      <c r="L146" s="5">
        <f>'Blk 1'!F149</f>
        <v>0</v>
      </c>
      <c r="M146">
        <f>Future!F149</f>
        <v>0</v>
      </c>
    </row>
    <row r="147" spans="1:13">
      <c r="A147" s="8">
        <v>1.72</v>
      </c>
      <c r="B147" t="s">
        <v>78</v>
      </c>
      <c r="F147" s="5">
        <f>'Blk 1'!D150</f>
        <v>9.3000000000000007</v>
      </c>
      <c r="G147" s="5">
        <f>Future!D150</f>
        <v>9.3000000000000007</v>
      </c>
      <c r="H147" s="5"/>
      <c r="I147" s="5" t="str">
        <f>'Blk 1'!E150</f>
        <v>D</v>
      </c>
      <c r="J147" s="5" t="str">
        <f>Future!E150</f>
        <v>D</v>
      </c>
      <c r="L147" s="5">
        <f>'Blk 1'!F150</f>
        <v>0</v>
      </c>
      <c r="M147">
        <f>Future!F150</f>
        <v>0</v>
      </c>
    </row>
    <row r="148" spans="1:13">
      <c r="A148" s="8">
        <v>1.73</v>
      </c>
      <c r="B148" t="s">
        <v>79</v>
      </c>
      <c r="F148" s="5"/>
      <c r="G148" s="5"/>
      <c r="H148" s="5"/>
      <c r="I148" s="5" t="str">
        <f>'Blk 1'!E151</f>
        <v>E</v>
      </c>
      <c r="J148" s="5" t="str">
        <f>Future!E151</f>
        <v>E</v>
      </c>
      <c r="L148" s="5">
        <f>'Blk 1'!F151</f>
        <v>0</v>
      </c>
      <c r="M148">
        <f>Future!F151</f>
        <v>0</v>
      </c>
    </row>
    <row r="149" spans="1:13">
      <c r="A149" s="8">
        <v>1.74</v>
      </c>
      <c r="B149" t="s">
        <v>80</v>
      </c>
      <c r="F149" s="5"/>
      <c r="G149" s="5"/>
      <c r="H149" s="5"/>
      <c r="I149" s="5" t="str">
        <f>'Blk 1'!E152</f>
        <v>E</v>
      </c>
      <c r="J149" s="5" t="str">
        <f>Future!E152</f>
        <v>E</v>
      </c>
      <c r="L149" s="5">
        <f>'Blk 1'!F152</f>
        <v>0</v>
      </c>
      <c r="M149">
        <f>Future!F152</f>
        <v>0</v>
      </c>
    </row>
    <row r="150" spans="1:13">
      <c r="A150" s="8">
        <v>1.75</v>
      </c>
      <c r="B150" t="s">
        <v>93</v>
      </c>
      <c r="F150" s="5">
        <f>'Blk 1'!D153</f>
        <v>6.9</v>
      </c>
      <c r="G150" s="5">
        <f>Future!D153</f>
        <v>7</v>
      </c>
      <c r="H150" s="5"/>
      <c r="I150" s="5" t="str">
        <f>'Blk 1'!E153</f>
        <v>E</v>
      </c>
      <c r="J150" s="5" t="str">
        <f>Future!E153</f>
        <v>E</v>
      </c>
      <c r="L150" s="5">
        <f>'Blk 1'!F153</f>
        <v>0</v>
      </c>
      <c r="M150">
        <f>Future!F153</f>
        <v>0</v>
      </c>
    </row>
    <row r="151" spans="1:13">
      <c r="A151" s="7">
        <v>1.8</v>
      </c>
      <c r="B151" t="s">
        <v>94</v>
      </c>
      <c r="F151" s="5"/>
      <c r="G151" s="5"/>
      <c r="H151" s="5"/>
      <c r="I151" s="5" t="str">
        <f>'Blk 1'!E154</f>
        <v>E</v>
      </c>
      <c r="J151" s="5" t="str">
        <f>Future!E154</f>
        <v>E</v>
      </c>
      <c r="L151" s="5">
        <f>'Blk 1'!F154</f>
        <v>0</v>
      </c>
      <c r="M151">
        <f>Future!F154</f>
        <v>0</v>
      </c>
    </row>
    <row r="152" spans="1:13">
      <c r="A152" s="7">
        <v>1.9</v>
      </c>
      <c r="B152" t="s">
        <v>95</v>
      </c>
      <c r="F152" s="5">
        <f>'Blk 1'!D155</f>
        <v>29.7</v>
      </c>
      <c r="G152" s="5">
        <f>Future!D155</f>
        <v>29.7</v>
      </c>
      <c r="H152" s="5"/>
      <c r="I152" s="5" t="str">
        <f>'Blk 1'!E155</f>
        <v>E</v>
      </c>
      <c r="J152" s="5" t="str">
        <f>Future!E155</f>
        <v>E</v>
      </c>
      <c r="L152" s="5">
        <f>'Blk 1'!F155</f>
        <v>0</v>
      </c>
      <c r="M152">
        <f>Future!F155</f>
        <v>0</v>
      </c>
    </row>
    <row r="153" spans="1:13">
      <c r="A153" s="8">
        <v>1.91</v>
      </c>
      <c r="B153" t="s">
        <v>96</v>
      </c>
      <c r="F153" s="5">
        <f>'Blk 1'!D156</f>
        <v>7.5</v>
      </c>
      <c r="G153" s="5">
        <f>Future!D156</f>
        <v>7.5</v>
      </c>
      <c r="H153" s="5"/>
      <c r="I153" s="5" t="str">
        <f>'Blk 1'!E156</f>
        <v>E</v>
      </c>
      <c r="J153" s="5" t="str">
        <f>Future!E156</f>
        <v>E</v>
      </c>
      <c r="L153" s="5">
        <f>'Blk 1'!F156</f>
        <v>0</v>
      </c>
      <c r="M153">
        <f>Future!F156</f>
        <v>0</v>
      </c>
    </row>
    <row r="154" spans="1:13">
      <c r="A154" s="8">
        <v>1.92</v>
      </c>
      <c r="B154" t="s">
        <v>97</v>
      </c>
      <c r="F154" s="5"/>
      <c r="G154" s="5"/>
      <c r="H154" s="5"/>
      <c r="I154" s="5" t="str">
        <f>'Blk 1'!E157</f>
        <v>E</v>
      </c>
      <c r="J154" s="5" t="str">
        <f>Future!E157</f>
        <v>E</v>
      </c>
      <c r="L154" s="5">
        <f>'Blk 1'!F157</f>
        <v>0</v>
      </c>
      <c r="M154">
        <f>Future!F157</f>
        <v>0</v>
      </c>
    </row>
    <row r="155" spans="1:13">
      <c r="A155" s="8">
        <v>1.93</v>
      </c>
      <c r="B155" t="s">
        <v>98</v>
      </c>
      <c r="F155" s="5"/>
      <c r="G155" s="5"/>
      <c r="H155" s="5"/>
      <c r="I155" s="5" t="str">
        <f>'Blk 1'!E158</f>
        <v>E</v>
      </c>
      <c r="J155" s="5" t="str">
        <f>Future!E158</f>
        <v>E</v>
      </c>
      <c r="L155" s="5">
        <f>'Blk 1'!F158</f>
        <v>0</v>
      </c>
      <c r="M155">
        <f>Future!F158</f>
        <v>0</v>
      </c>
    </row>
    <row r="156" spans="1:13">
      <c r="A156" s="8">
        <v>1.94</v>
      </c>
      <c r="B156" t="s">
        <v>99</v>
      </c>
      <c r="F156" s="5">
        <f>'Blk 1'!D159</f>
        <v>15</v>
      </c>
      <c r="G156" s="5">
        <f>Future!D159</f>
        <v>15</v>
      </c>
      <c r="H156" s="5"/>
      <c r="I156" s="5" t="str">
        <f>'Blk 1'!E159</f>
        <v>E</v>
      </c>
      <c r="J156" s="5" t="str">
        <f>Future!E159</f>
        <v>E</v>
      </c>
      <c r="L156" s="5">
        <f>'Blk 1'!F159</f>
        <v>0</v>
      </c>
      <c r="M156">
        <f>Future!F159</f>
        <v>0</v>
      </c>
    </row>
    <row r="157" spans="1:13">
      <c r="A157" s="8">
        <v>1.95</v>
      </c>
      <c r="B157" t="s">
        <v>100</v>
      </c>
      <c r="F157" s="5">
        <f>'Blk 1'!D160</f>
        <v>7</v>
      </c>
      <c r="G157" s="5">
        <f>Future!D160</f>
        <v>7</v>
      </c>
      <c r="H157" s="5"/>
      <c r="I157" s="5" t="str">
        <f>'Blk 1'!E160</f>
        <v>E</v>
      </c>
      <c r="J157" s="5" t="str">
        <f>Future!E160</f>
        <v>E</v>
      </c>
      <c r="L157" s="5">
        <f>'Blk 1'!F160</f>
        <v>0</v>
      </c>
      <c r="M157">
        <f>Future!F160</f>
        <v>0</v>
      </c>
    </row>
    <row r="158" spans="1:13">
      <c r="A158" s="3"/>
    </row>
    <row r="159" spans="1:13">
      <c r="A159" s="1" t="s">
        <v>331</v>
      </c>
    </row>
    <row r="160" spans="1:13">
      <c r="A160" s="1">
        <v>2</v>
      </c>
      <c r="B160" t="s">
        <v>107</v>
      </c>
      <c r="F160" s="5">
        <f>'Blk 1'!D163</f>
        <v>2100.6</v>
      </c>
      <c r="G160" s="5">
        <f>Future!D163</f>
        <v>2101.5</v>
      </c>
      <c r="I160" s="5" t="str">
        <f>'Blk 1'!E163</f>
        <v>T</v>
      </c>
      <c r="J160" s="5" t="str">
        <f>Future!E163</f>
        <v>T</v>
      </c>
      <c r="L160" s="5">
        <f>'Blk 1'!F163</f>
        <v>0</v>
      </c>
      <c r="M160">
        <f>Future!F163</f>
        <v>0</v>
      </c>
    </row>
    <row r="161" spans="1:13">
      <c r="A161" s="7">
        <v>2.1</v>
      </c>
      <c r="B161" t="s">
        <v>108</v>
      </c>
      <c r="F161" s="5">
        <f>SUM('Blk 1'!D166:D167)</f>
        <v>1192.8</v>
      </c>
      <c r="G161" s="5">
        <f>SUM(Future!D166:E167)</f>
        <v>1192.8</v>
      </c>
      <c r="I161" s="5" t="str">
        <f>'Blk 1'!E166</f>
        <v>D</v>
      </c>
      <c r="J161" s="5" t="str">
        <f>Future!E166</f>
        <v>D</v>
      </c>
      <c r="L161" s="5">
        <f>'Blk 1'!F166</f>
        <v>0</v>
      </c>
      <c r="M161">
        <f>Future!F166</f>
        <v>0</v>
      </c>
    </row>
    <row r="162" spans="1:13">
      <c r="A162" s="8">
        <v>2.11</v>
      </c>
      <c r="B162" t="s">
        <v>109</v>
      </c>
      <c r="F162" s="5">
        <f>SUM('Blk 1'!D168:D169)</f>
        <v>333.9</v>
      </c>
      <c r="G162" s="5">
        <f>SUM(Future!D168:E169)</f>
        <v>333.9</v>
      </c>
      <c r="I162" s="5" t="str">
        <f>'Blk 1'!E168</f>
        <v>D</v>
      </c>
      <c r="J162" s="5" t="str">
        <f>Future!E168</f>
        <v>D</v>
      </c>
      <c r="L162" s="5">
        <f>'Blk 1'!F168</f>
        <v>0</v>
      </c>
      <c r="M162">
        <f>Future!F168</f>
        <v>0</v>
      </c>
    </row>
    <row r="163" spans="1:13">
      <c r="A163" s="9">
        <v>2.1110000000000002</v>
      </c>
      <c r="B163" t="s">
        <v>110</v>
      </c>
      <c r="F163" s="5">
        <f>SUM('Blk 1'!D170:D171)</f>
        <v>295.3</v>
      </c>
      <c r="G163" s="5">
        <f>SUM(Future!D170:E171)</f>
        <v>295.3</v>
      </c>
      <c r="I163" s="5" t="str">
        <f>'Blk 1'!E170</f>
        <v>D</v>
      </c>
      <c r="J163" s="5" t="str">
        <f>Future!E170</f>
        <v>D</v>
      </c>
      <c r="L163" s="5">
        <f>'Blk 1'!F170</f>
        <v>0</v>
      </c>
      <c r="M163">
        <f>Future!F170</f>
        <v>0</v>
      </c>
    </row>
    <row r="164" spans="1:13">
      <c r="A164" s="10">
        <v>2.1111</v>
      </c>
      <c r="B164" t="s">
        <v>111</v>
      </c>
      <c r="F164" s="5">
        <f>SUM('Blk 1'!D172:D173)</f>
        <v>295.3</v>
      </c>
      <c r="G164" s="5">
        <f>SUM(Future!D172:E173)</f>
        <v>295.3</v>
      </c>
      <c r="I164" s="5" t="str">
        <f>'Blk 1'!E172</f>
        <v>D</v>
      </c>
      <c r="J164" s="5" t="str">
        <f>Future!E172</f>
        <v>D</v>
      </c>
      <c r="L164" s="5">
        <f>'Blk 1'!F172</f>
        <v>0</v>
      </c>
      <c r="M164">
        <f>Future!F172</f>
        <v>0</v>
      </c>
    </row>
    <row r="165" spans="1:13">
      <c r="A165" s="12">
        <v>2.1111100999999999</v>
      </c>
      <c r="B165" t="s">
        <v>177</v>
      </c>
      <c r="F165" s="5">
        <f>'Blk 1'!D174</f>
        <v>28.3</v>
      </c>
      <c r="G165" s="5">
        <f>Future!D174</f>
        <v>28.3</v>
      </c>
      <c r="I165" s="5" t="str">
        <f>'Blk 1'!E174</f>
        <v>D</v>
      </c>
      <c r="J165" s="5" t="str">
        <f>Future!E174</f>
        <v>D</v>
      </c>
      <c r="L165" s="5">
        <f>'Blk 1'!F174</f>
        <v>1</v>
      </c>
      <c r="M165">
        <f>Future!F174</f>
        <v>1</v>
      </c>
    </row>
    <row r="166" spans="1:13">
      <c r="A166" s="12">
        <v>2.1111103999999998</v>
      </c>
      <c r="B166" t="s">
        <v>178</v>
      </c>
      <c r="F166" s="5">
        <f>'Blk 1'!D175</f>
        <v>16.3</v>
      </c>
      <c r="G166" s="5">
        <f>Future!D175</f>
        <v>16.3</v>
      </c>
      <c r="I166" s="5" t="str">
        <f>'Blk 1'!E175</f>
        <v>D</v>
      </c>
      <c r="J166" s="5" t="str">
        <f>Future!E175</f>
        <v>D</v>
      </c>
      <c r="L166" s="5">
        <f>'Blk 1'!F175</f>
        <v>1</v>
      </c>
      <c r="M166">
        <f>Future!F175</f>
        <v>1</v>
      </c>
    </row>
    <row r="167" spans="1:13">
      <c r="A167" s="12">
        <v>2.1111206</v>
      </c>
      <c r="B167" t="s">
        <v>179</v>
      </c>
      <c r="F167" s="5">
        <f>'Blk 1'!D176</f>
        <v>13.9</v>
      </c>
      <c r="G167" s="5">
        <f>Future!D176</f>
        <v>13.9</v>
      </c>
      <c r="I167" s="5" t="str">
        <f>'Blk 1'!E176</f>
        <v>E</v>
      </c>
      <c r="J167" s="5" t="str">
        <f>Future!E176</f>
        <v>E</v>
      </c>
      <c r="L167" s="5">
        <f>'Blk 1'!F176</f>
        <v>1</v>
      </c>
      <c r="M167">
        <f>Future!F176</f>
        <v>1</v>
      </c>
    </row>
    <row r="168" spans="1:13">
      <c r="A168" s="12">
        <v>2.1111230000000001</v>
      </c>
      <c r="B168" t="s">
        <v>180</v>
      </c>
      <c r="F168" s="5">
        <f>'Blk 1'!D177</f>
        <v>44.6</v>
      </c>
      <c r="G168" s="5">
        <f>Future!D177</f>
        <v>44.6</v>
      </c>
      <c r="I168" s="5" t="str">
        <f>'Blk 1'!E177</f>
        <v>E</v>
      </c>
      <c r="J168" s="5" t="str">
        <f>Future!E177</f>
        <v>E</v>
      </c>
      <c r="L168" s="5">
        <f>'Blk 1'!F177</f>
        <v>4</v>
      </c>
      <c r="M168">
        <f>Future!F177</f>
        <v>4</v>
      </c>
    </row>
    <row r="169" spans="1:13">
      <c r="A169" s="12">
        <v>2.1111301999999998</v>
      </c>
      <c r="B169" t="s">
        <v>181</v>
      </c>
      <c r="F169" s="5">
        <f>'Blk 1'!D178</f>
        <v>192.3</v>
      </c>
      <c r="G169" s="5">
        <f>Future!D178</f>
        <v>192.3</v>
      </c>
      <c r="I169" s="5" t="str">
        <f>'Blk 1'!E178</f>
        <v>E</v>
      </c>
      <c r="J169" s="5" t="str">
        <f>Future!E178</f>
        <v>E</v>
      </c>
      <c r="L169" s="5">
        <f>'Blk 1'!F178</f>
        <v>18</v>
      </c>
      <c r="M169">
        <f>Future!F178</f>
        <v>18</v>
      </c>
    </row>
    <row r="170" spans="1:13">
      <c r="A170" s="10">
        <v>2.1114000000000002</v>
      </c>
      <c r="B170" t="s">
        <v>112</v>
      </c>
      <c r="I170" s="5" t="str">
        <f>'Blk 1'!E179</f>
        <v>E</v>
      </c>
      <c r="J170" s="5" t="str">
        <f>Future!E179</f>
        <v>E</v>
      </c>
      <c r="L170" s="5">
        <f>'Blk 1'!F179</f>
        <v>0</v>
      </c>
      <c r="M170">
        <f>Future!F179</f>
        <v>0</v>
      </c>
    </row>
    <row r="171" spans="1:13">
      <c r="A171" s="10">
        <v>2.1114999999999999</v>
      </c>
      <c r="B171" t="s">
        <v>113</v>
      </c>
      <c r="I171" s="5" t="str">
        <f>'Blk 1'!E180</f>
        <v>E</v>
      </c>
      <c r="J171" s="5" t="str">
        <f>Future!E180</f>
        <v>E</v>
      </c>
      <c r="L171" s="5">
        <f>'Blk 1'!F180</f>
        <v>0</v>
      </c>
      <c r="M171">
        <f>Future!F180</f>
        <v>0</v>
      </c>
    </row>
    <row r="172" spans="1:13">
      <c r="A172" s="9">
        <v>2.1120000000000001</v>
      </c>
      <c r="B172" t="s">
        <v>114</v>
      </c>
      <c r="F172" s="5">
        <f>SUM('Blk 1'!D181:D182)</f>
        <v>38.200000000000003</v>
      </c>
      <c r="G172" s="5">
        <f>SUM(Future!D181:E182)</f>
        <v>38.200000000000003</v>
      </c>
      <c r="I172" s="5" t="str">
        <f>'Blk 1'!E181</f>
        <v>D</v>
      </c>
      <c r="J172" s="5" t="str">
        <f>Future!E181</f>
        <v>D</v>
      </c>
      <c r="L172" s="5">
        <f>'Blk 1'!F181</f>
        <v>0</v>
      </c>
      <c r="M172">
        <f>Future!F181</f>
        <v>0</v>
      </c>
    </row>
    <row r="173" spans="1:13">
      <c r="A173" s="10">
        <v>2.1120999999999999</v>
      </c>
      <c r="B173" t="s">
        <v>111</v>
      </c>
      <c r="F173" s="5">
        <f>SUM('Blk 1'!D183:D184)</f>
        <v>38.200000000000003</v>
      </c>
      <c r="G173" s="5">
        <f>SUM(Future!D183:E184)</f>
        <v>38.200000000000003</v>
      </c>
      <c r="I173" s="5" t="str">
        <f>'Blk 1'!E183</f>
        <v>D</v>
      </c>
      <c r="J173" s="5" t="str">
        <f>Future!E183</f>
        <v>D</v>
      </c>
      <c r="L173" s="5">
        <f>'Blk 1'!F183</f>
        <v>0</v>
      </c>
      <c r="M173">
        <f>Future!F183</f>
        <v>0</v>
      </c>
    </row>
    <row r="174" spans="1:13">
      <c r="A174" s="12">
        <v>2.1121101000000002</v>
      </c>
      <c r="B174" t="s">
        <v>182</v>
      </c>
      <c r="F174" s="5">
        <f>'Blk 1'!D185</f>
        <v>4.5</v>
      </c>
      <c r="G174" s="5">
        <f>Future!D185</f>
        <v>4.5</v>
      </c>
      <c r="I174" s="5" t="str">
        <f>'Blk 1'!E185</f>
        <v>D</v>
      </c>
      <c r="J174" s="5" t="str">
        <f>Future!E185</f>
        <v>D</v>
      </c>
      <c r="L174" s="5">
        <f>'Blk 1'!F185</f>
        <v>1</v>
      </c>
      <c r="M174">
        <f>Future!F185</f>
        <v>1</v>
      </c>
    </row>
    <row r="175" spans="1:13">
      <c r="A175" s="12">
        <v>2.1121200999999998</v>
      </c>
      <c r="B175" t="s">
        <v>184</v>
      </c>
      <c r="F175" s="5">
        <f>'Blk 1'!D186</f>
        <v>2.7</v>
      </c>
      <c r="G175" s="5">
        <f>Future!D186</f>
        <v>2.7</v>
      </c>
      <c r="I175" s="5" t="str">
        <f>'Blk 1'!E186</f>
        <v>E</v>
      </c>
      <c r="J175" s="5" t="str">
        <f>Future!E186</f>
        <v>E</v>
      </c>
      <c r="L175" s="5">
        <f>'Blk 1'!F186</f>
        <v>1</v>
      </c>
      <c r="M175">
        <f>Future!F186</f>
        <v>1</v>
      </c>
    </row>
    <row r="176" spans="1:13">
      <c r="A176" s="12">
        <v>2.1121203</v>
      </c>
      <c r="B176" t="s">
        <v>183</v>
      </c>
      <c r="F176" s="5">
        <f>'Blk 1'!D187</f>
        <v>4.2</v>
      </c>
      <c r="G176" s="5">
        <f>Future!D187</f>
        <v>4.2</v>
      </c>
      <c r="I176" s="5" t="str">
        <f>'Blk 1'!E187</f>
        <v>E</v>
      </c>
      <c r="J176" s="5" t="str">
        <f>Future!E187</f>
        <v>E</v>
      </c>
      <c r="L176" s="5">
        <f>'Blk 1'!F187</f>
        <v>2</v>
      </c>
      <c r="M176">
        <f>Future!F187</f>
        <v>2</v>
      </c>
    </row>
    <row r="177" spans="1:13">
      <c r="A177" s="12">
        <v>2.1121303</v>
      </c>
      <c r="B177" t="s">
        <v>185</v>
      </c>
      <c r="F177" s="5">
        <f>'Blk 1'!D188</f>
        <v>26.8</v>
      </c>
      <c r="G177" s="5">
        <f>Future!D188</f>
        <v>26.8</v>
      </c>
      <c r="I177" s="5" t="str">
        <f>'Blk 1'!E188</f>
        <v>E</v>
      </c>
      <c r="J177" s="5" t="str">
        <f>Future!E188</f>
        <v>E</v>
      </c>
      <c r="L177" s="5">
        <f>'Blk 1'!F188</f>
        <v>3</v>
      </c>
      <c r="M177">
        <f>Future!F188</f>
        <v>3</v>
      </c>
    </row>
    <row r="178" spans="1:13">
      <c r="A178" s="10">
        <v>2.1124000000000001</v>
      </c>
      <c r="B178" t="s">
        <v>112</v>
      </c>
      <c r="I178" s="5" t="str">
        <f>'Blk 1'!E189</f>
        <v>E</v>
      </c>
      <c r="J178" s="5" t="str">
        <f>Future!E189</f>
        <v>E</v>
      </c>
      <c r="L178" s="5">
        <f>'Blk 1'!F189</f>
        <v>0</v>
      </c>
      <c r="M178">
        <f>Future!F189</f>
        <v>0</v>
      </c>
    </row>
    <row r="179" spans="1:13">
      <c r="A179" s="10">
        <v>2.1124999999999998</v>
      </c>
      <c r="B179" t="s">
        <v>113</v>
      </c>
      <c r="I179" s="5" t="str">
        <f>'Blk 1'!E190</f>
        <v>E</v>
      </c>
      <c r="J179" s="5" t="str">
        <f>Future!E190</f>
        <v>E</v>
      </c>
      <c r="L179" s="5">
        <f>'Blk 1'!F190</f>
        <v>0</v>
      </c>
      <c r="M179">
        <f>Future!F190</f>
        <v>0</v>
      </c>
    </row>
    <row r="180" spans="1:13">
      <c r="A180" s="8">
        <v>2.12</v>
      </c>
      <c r="B180" t="s">
        <v>115</v>
      </c>
      <c r="F180" s="5">
        <f>'Blk 1'!D191</f>
        <v>116.5</v>
      </c>
      <c r="G180" s="5">
        <f>Future!D191</f>
        <v>116.5</v>
      </c>
      <c r="I180" s="5" t="str">
        <f>'Blk 1'!E191</f>
        <v>E</v>
      </c>
      <c r="J180" s="5" t="str">
        <f>Future!E191</f>
        <v>E</v>
      </c>
      <c r="L180" s="5">
        <f>'Blk 1'!F191</f>
        <v>0</v>
      </c>
      <c r="M180">
        <f>Future!F191</f>
        <v>0</v>
      </c>
    </row>
    <row r="181" spans="1:13">
      <c r="A181" s="9">
        <v>2.121</v>
      </c>
      <c r="B181" t="s">
        <v>110</v>
      </c>
      <c r="F181" s="5">
        <f>'Blk 1'!D192</f>
        <v>89.4</v>
      </c>
      <c r="G181" s="5">
        <f>Future!D192</f>
        <v>89.4</v>
      </c>
      <c r="I181" s="5" t="str">
        <f>'Blk 1'!E192</f>
        <v>E</v>
      </c>
      <c r="J181" s="5" t="str">
        <f>Future!E192</f>
        <v>E</v>
      </c>
      <c r="L181" s="5">
        <f>'Blk 1'!F192</f>
        <v>0</v>
      </c>
      <c r="M181">
        <f>Future!F192</f>
        <v>0</v>
      </c>
    </row>
    <row r="182" spans="1:13">
      <c r="A182" s="10">
        <v>2.1211000000000002</v>
      </c>
      <c r="B182" t="s">
        <v>116</v>
      </c>
      <c r="F182" s="5">
        <f>'Blk 1'!D193</f>
        <v>89.4</v>
      </c>
      <c r="G182" s="5">
        <f>Future!D193</f>
        <v>89.4</v>
      </c>
      <c r="I182" s="5" t="str">
        <f>'Blk 1'!E193</f>
        <v>E</v>
      </c>
      <c r="J182" s="5" t="str">
        <f>Future!E193</f>
        <v>E</v>
      </c>
      <c r="L182" s="5">
        <f>'Blk 1'!F193</f>
        <v>3</v>
      </c>
      <c r="M182">
        <f>Future!F193</f>
        <v>3</v>
      </c>
    </row>
    <row r="183" spans="1:13">
      <c r="A183" s="9">
        <v>2.1219999999999999</v>
      </c>
      <c r="B183" t="s">
        <v>114</v>
      </c>
      <c r="F183" s="5">
        <f>'Blk 1'!D194</f>
        <v>27</v>
      </c>
      <c r="G183" s="5">
        <f>Future!D194</f>
        <v>27</v>
      </c>
      <c r="I183" s="5" t="str">
        <f>'Blk 1'!E194</f>
        <v>E</v>
      </c>
      <c r="J183" s="5" t="str">
        <f>Future!E194</f>
        <v>E</v>
      </c>
      <c r="L183" s="5">
        <f>'Blk 1'!F194</f>
        <v>0</v>
      </c>
      <c r="M183">
        <f>Future!F194</f>
        <v>0</v>
      </c>
    </row>
    <row r="184" spans="1:13">
      <c r="A184" s="10">
        <v>2.1221000000000001</v>
      </c>
      <c r="B184" t="s">
        <v>116</v>
      </c>
      <c r="F184" s="5">
        <f>'Blk 1'!D195</f>
        <v>27</v>
      </c>
      <c r="G184" s="5">
        <f>Future!D195</f>
        <v>27</v>
      </c>
      <c r="I184" s="5" t="str">
        <f>'Blk 1'!E195</f>
        <v>E</v>
      </c>
      <c r="J184" s="5" t="str">
        <f>Future!E195</f>
        <v>E</v>
      </c>
      <c r="L184" s="5">
        <f>'Blk 1'!F195</f>
        <v>3</v>
      </c>
      <c r="M184">
        <f>Future!F195</f>
        <v>3</v>
      </c>
    </row>
    <row r="185" spans="1:13">
      <c r="A185" s="8">
        <v>2.13</v>
      </c>
      <c r="B185" t="s">
        <v>117</v>
      </c>
      <c r="F185" s="5">
        <f>'Blk 1'!D196</f>
        <v>713.2</v>
      </c>
      <c r="G185" s="5">
        <f>Future!D196</f>
        <v>713.2</v>
      </c>
      <c r="I185" s="5" t="str">
        <f>'Blk 1'!E196</f>
        <v>E</v>
      </c>
      <c r="J185" s="5" t="str">
        <f>Future!E196</f>
        <v>E</v>
      </c>
      <c r="L185" s="5">
        <f>'Blk 1'!F196</f>
        <v>0</v>
      </c>
      <c r="M185">
        <f>Future!F196</f>
        <v>0</v>
      </c>
    </row>
    <row r="186" spans="1:13">
      <c r="A186" s="9">
        <v>2.1309999999999998</v>
      </c>
      <c r="B186" t="s">
        <v>110</v>
      </c>
      <c r="F186" s="5">
        <f>'Blk 1'!D197</f>
        <v>567</v>
      </c>
      <c r="G186" s="5">
        <f>Future!D197</f>
        <v>567</v>
      </c>
      <c r="I186" s="5" t="str">
        <f>'Blk 1'!E197</f>
        <v>E</v>
      </c>
      <c r="J186" s="5" t="str">
        <f>Future!E197</f>
        <v>E</v>
      </c>
      <c r="L186" s="5">
        <f>'Blk 1'!F197</f>
        <v>0</v>
      </c>
      <c r="M186">
        <f>Future!F197</f>
        <v>0</v>
      </c>
    </row>
    <row r="187" spans="1:13">
      <c r="A187" s="10">
        <v>2.1311</v>
      </c>
      <c r="B187" t="s">
        <v>118</v>
      </c>
      <c r="F187" s="5">
        <f>'Blk 1'!D198</f>
        <v>567</v>
      </c>
      <c r="G187" s="5">
        <f>Future!D198</f>
        <v>567</v>
      </c>
      <c r="I187" s="5" t="str">
        <f>'Blk 1'!E198</f>
        <v>E</v>
      </c>
      <c r="J187" s="5" t="str">
        <f>Future!E198</f>
        <v>E</v>
      </c>
      <c r="L187" s="5">
        <f>'Blk 1'!F198</f>
        <v>0</v>
      </c>
      <c r="M187">
        <f>Future!F198</f>
        <v>0</v>
      </c>
    </row>
    <row r="188" spans="1:13">
      <c r="A188" s="10">
        <v>2.1311</v>
      </c>
      <c r="B188" t="s">
        <v>119</v>
      </c>
      <c r="F188" s="5">
        <f>'Blk 1'!D199</f>
        <v>567</v>
      </c>
      <c r="G188" s="5">
        <f>Future!D199</f>
        <v>567</v>
      </c>
      <c r="I188" s="5" t="str">
        <f>'Blk 1'!E199</f>
        <v>E</v>
      </c>
      <c r="J188" s="5" t="str">
        <f>Future!E199</f>
        <v>E</v>
      </c>
      <c r="L188" s="5">
        <f>'Blk 1'!F199</f>
        <v>13</v>
      </c>
      <c r="M188">
        <f>Future!F199</f>
        <v>13</v>
      </c>
    </row>
    <row r="189" spans="1:13">
      <c r="A189" s="9">
        <v>2.1320000000000001</v>
      </c>
      <c r="B189" t="s">
        <v>114</v>
      </c>
      <c r="F189" s="5">
        <f>'Blk 1'!D200</f>
        <v>117.2</v>
      </c>
      <c r="G189" s="5">
        <f>Future!D200</f>
        <v>117.2</v>
      </c>
      <c r="I189" s="5" t="str">
        <f>'Blk 1'!E200</f>
        <v>E</v>
      </c>
      <c r="J189" s="5" t="str">
        <f>Future!E200</f>
        <v>E</v>
      </c>
      <c r="L189" s="5">
        <f>'Blk 1'!F200</f>
        <v>0</v>
      </c>
      <c r="M189">
        <f>Future!F200</f>
        <v>0</v>
      </c>
    </row>
    <row r="190" spans="1:13">
      <c r="A190" s="10">
        <v>2.1320999999999999</v>
      </c>
      <c r="B190" t="s">
        <v>118</v>
      </c>
      <c r="F190" s="5">
        <f>'Blk 1'!D201</f>
        <v>117.2</v>
      </c>
      <c r="G190" s="5">
        <f>Future!D201</f>
        <v>117.2</v>
      </c>
      <c r="I190" s="5" t="str">
        <f>'Blk 1'!E201</f>
        <v>E</v>
      </c>
      <c r="J190" s="5" t="str">
        <f>Future!E201</f>
        <v>E</v>
      </c>
      <c r="L190" s="5">
        <f>'Blk 1'!F201</f>
        <v>0</v>
      </c>
      <c r="M190">
        <f>Future!F201</f>
        <v>0</v>
      </c>
    </row>
    <row r="191" spans="1:13">
      <c r="A191" s="10">
        <v>2.1320999999999999</v>
      </c>
      <c r="B191" t="s">
        <v>120</v>
      </c>
      <c r="F191" s="5">
        <f>'Blk 1'!D202</f>
        <v>117.2</v>
      </c>
      <c r="G191" s="5">
        <f>Future!D202</f>
        <v>117.2</v>
      </c>
      <c r="I191" s="5" t="str">
        <f>'Blk 1'!E202</f>
        <v>E</v>
      </c>
      <c r="J191" s="5" t="str">
        <f>Future!E202</f>
        <v>E</v>
      </c>
      <c r="L191" s="5">
        <f>'Blk 1'!F202</f>
        <v>13</v>
      </c>
      <c r="M191">
        <f>Future!F202</f>
        <v>13</v>
      </c>
    </row>
    <row r="192" spans="1:13">
      <c r="A192" s="9">
        <v>2.133</v>
      </c>
      <c r="B192" t="s">
        <v>121</v>
      </c>
      <c r="F192" s="5">
        <f>'Blk 1'!D203</f>
        <v>29.1</v>
      </c>
      <c r="G192" s="5">
        <f>Future!D203</f>
        <v>29.1</v>
      </c>
      <c r="I192" s="5" t="str">
        <f>'Blk 1'!E203</f>
        <v>E</v>
      </c>
      <c r="J192" s="5" t="str">
        <f>Future!E203</f>
        <v>E</v>
      </c>
      <c r="L192" s="5">
        <f>'Blk 1'!F203</f>
        <v>0</v>
      </c>
      <c r="M192">
        <f>Future!F203</f>
        <v>0</v>
      </c>
    </row>
    <row r="193" spans="1:13">
      <c r="A193" s="10">
        <v>2.1331000000000002</v>
      </c>
      <c r="B193" t="s">
        <v>186</v>
      </c>
      <c r="F193" s="5">
        <f>'Blk 1'!D204</f>
        <v>14.5</v>
      </c>
      <c r="G193" s="5">
        <f>Future!D204</f>
        <v>14.5</v>
      </c>
      <c r="I193" s="5" t="str">
        <f>'Blk 1'!E204</f>
        <v>E</v>
      </c>
      <c r="J193" s="5" t="str">
        <f>Future!E204</f>
        <v>E</v>
      </c>
      <c r="L193" s="5">
        <f>'Blk 1'!F204</f>
        <v>0</v>
      </c>
      <c r="M193">
        <f>Future!F204</f>
        <v>0</v>
      </c>
    </row>
    <row r="194" spans="1:13">
      <c r="A194" s="10">
        <v>2.1332</v>
      </c>
      <c r="B194" t="s">
        <v>187</v>
      </c>
      <c r="F194" s="5">
        <f>'Blk 1'!D205</f>
        <v>14.5</v>
      </c>
      <c r="G194" s="5">
        <f>Future!D205</f>
        <v>14.5</v>
      </c>
      <c r="I194" s="5" t="str">
        <f>'Blk 1'!E205</f>
        <v>E</v>
      </c>
      <c r="J194" s="5" t="str">
        <f>Future!E205</f>
        <v>E</v>
      </c>
      <c r="L194" s="5">
        <f>'Blk 1'!F205</f>
        <v>0</v>
      </c>
      <c r="M194">
        <f>Future!F205</f>
        <v>0</v>
      </c>
    </row>
    <row r="195" spans="1:13">
      <c r="A195" s="10">
        <v>2.1335999999999999</v>
      </c>
      <c r="B195" t="s">
        <v>188</v>
      </c>
      <c r="I195" s="5" t="str">
        <f>'Blk 1'!E206</f>
        <v>E</v>
      </c>
      <c r="J195" s="5" t="str">
        <f>Future!E206</f>
        <v>E</v>
      </c>
      <c r="L195" s="5">
        <f>'Blk 1'!F206</f>
        <v>0</v>
      </c>
      <c r="M195">
        <f>Future!F206</f>
        <v>0</v>
      </c>
    </row>
    <row r="196" spans="1:13">
      <c r="A196" s="8">
        <v>2.14</v>
      </c>
      <c r="B196" t="s">
        <v>122</v>
      </c>
      <c r="F196" s="5">
        <f>SUM('Blk 1'!D207:D208)</f>
        <v>12.3</v>
      </c>
      <c r="G196" s="5">
        <f>SUM(Future!D207:E208)</f>
        <v>12.3</v>
      </c>
      <c r="I196" s="5" t="str">
        <f>'Blk 1'!E207</f>
        <v>D</v>
      </c>
      <c r="J196" s="5" t="str">
        <f>Future!E207</f>
        <v>D</v>
      </c>
      <c r="L196" s="5">
        <f>'Blk 1'!F207</f>
        <v>0</v>
      </c>
      <c r="M196">
        <f>Future!F207</f>
        <v>0</v>
      </c>
    </row>
    <row r="197" spans="1:13">
      <c r="A197" s="9">
        <v>2.141</v>
      </c>
      <c r="B197" t="s">
        <v>189</v>
      </c>
      <c r="F197" s="5">
        <f>'Blk 1'!D209</f>
        <v>5.5</v>
      </c>
      <c r="G197" s="5">
        <f>Future!D209</f>
        <v>5.5</v>
      </c>
      <c r="I197" s="5" t="str">
        <f>'Blk 1'!E209</f>
        <v>E</v>
      </c>
      <c r="J197" s="5" t="str">
        <f>Future!E209</f>
        <v>E</v>
      </c>
      <c r="L197" s="5">
        <f>'Blk 1'!F209</f>
        <v>1</v>
      </c>
      <c r="M197">
        <f>Future!F209</f>
        <v>1</v>
      </c>
    </row>
    <row r="198" spans="1:13">
      <c r="A198" s="9">
        <v>2.1419999999999999</v>
      </c>
      <c r="B198" t="s">
        <v>190</v>
      </c>
      <c r="F198" s="5">
        <f>'Blk 1'!D210</f>
        <v>2.2000000000000002</v>
      </c>
      <c r="G198" s="5">
        <f>Future!D210</f>
        <v>2.2000000000000002</v>
      </c>
      <c r="I198" s="5" t="str">
        <f>'Blk 1'!E210</f>
        <v>D</v>
      </c>
      <c r="J198" s="5" t="str">
        <f>Future!E210</f>
        <v>D</v>
      </c>
      <c r="L198" s="5">
        <f>'Blk 1'!F210</f>
        <v>1</v>
      </c>
      <c r="M198">
        <f>Future!F210</f>
        <v>1</v>
      </c>
    </row>
    <row r="199" spans="1:13">
      <c r="A199" s="9">
        <v>2.1429999999999998</v>
      </c>
      <c r="B199" t="s">
        <v>191</v>
      </c>
      <c r="F199" s="5">
        <f>'Blk 1'!D211</f>
        <v>2.2000000000000002</v>
      </c>
      <c r="G199" s="5">
        <f>Future!D211</f>
        <v>2.2000000000000002</v>
      </c>
      <c r="I199" s="5" t="str">
        <f>'Blk 1'!E211</f>
        <v>E</v>
      </c>
      <c r="J199" s="5" t="str">
        <f>Future!E211</f>
        <v>E</v>
      </c>
      <c r="L199" s="5">
        <f>'Blk 1'!F211</f>
        <v>1</v>
      </c>
      <c r="M199">
        <f>Future!F211</f>
        <v>1</v>
      </c>
    </row>
    <row r="200" spans="1:13">
      <c r="A200" s="9">
        <v>2.1440000000000001</v>
      </c>
      <c r="B200" t="s">
        <v>192</v>
      </c>
      <c r="F200" s="5">
        <f>'Blk 1'!D212</f>
        <v>2.2000000000000002</v>
      </c>
      <c r="G200" s="5">
        <f>Future!D212</f>
        <v>2.2000000000000002</v>
      </c>
      <c r="I200" s="5" t="str">
        <f>'Blk 1'!E212</f>
        <v>E</v>
      </c>
      <c r="J200" s="5" t="str">
        <f>Future!E212</f>
        <v>E</v>
      </c>
      <c r="L200" s="5">
        <f>'Blk 1'!F212</f>
        <v>1</v>
      </c>
      <c r="M200">
        <f>Future!F212</f>
        <v>1</v>
      </c>
    </row>
    <row r="201" spans="1:13">
      <c r="A201" s="8">
        <v>2.15</v>
      </c>
      <c r="B201" t="s">
        <v>123</v>
      </c>
      <c r="F201" s="5">
        <f>'Blk 1'!D213</f>
        <v>13.5</v>
      </c>
      <c r="G201" s="5">
        <f>Future!D213</f>
        <v>13.5</v>
      </c>
      <c r="I201" s="5" t="str">
        <f>'Blk 1'!E213</f>
        <v>E</v>
      </c>
      <c r="J201" s="5" t="str">
        <f>Future!E213</f>
        <v>E</v>
      </c>
      <c r="L201" s="5">
        <f>'Blk 1'!F213</f>
        <v>0</v>
      </c>
      <c r="M201">
        <f>Future!F213</f>
        <v>0</v>
      </c>
    </row>
    <row r="202" spans="1:13">
      <c r="A202" s="9">
        <v>2.1509999999999998</v>
      </c>
      <c r="B202" t="s">
        <v>124</v>
      </c>
      <c r="F202" s="5">
        <f>'Blk 1'!D214</f>
        <v>7.2</v>
      </c>
      <c r="G202" s="5">
        <f>Future!D214</f>
        <v>7.2</v>
      </c>
      <c r="I202" s="5" t="str">
        <f>'Blk 1'!E214</f>
        <v>E</v>
      </c>
      <c r="J202" s="5" t="str">
        <f>Future!E214</f>
        <v>E</v>
      </c>
      <c r="L202" s="5">
        <f>'Blk 1'!F214</f>
        <v>0</v>
      </c>
      <c r="M202">
        <f>Future!F214</f>
        <v>0</v>
      </c>
    </row>
    <row r="203" spans="1:13">
      <c r="A203" s="10">
        <v>2.1511</v>
      </c>
      <c r="B203" t="s">
        <v>193</v>
      </c>
      <c r="F203" s="5">
        <f>'Blk 1'!D215</f>
        <v>7.2</v>
      </c>
      <c r="G203" s="5">
        <f>Future!D215</f>
        <v>7.2</v>
      </c>
      <c r="I203" s="5" t="str">
        <f>'Blk 1'!E215</f>
        <v>E</v>
      </c>
      <c r="J203" s="5" t="str">
        <f>Future!E215</f>
        <v>E</v>
      </c>
      <c r="L203" s="5">
        <f>'Blk 1'!F215</f>
        <v>0</v>
      </c>
      <c r="M203">
        <f>Future!F215</f>
        <v>0</v>
      </c>
    </row>
    <row r="204" spans="1:13">
      <c r="A204" s="9">
        <v>2.1520000000000001</v>
      </c>
      <c r="B204" t="s">
        <v>125</v>
      </c>
      <c r="F204" s="5">
        <f>'Blk 1'!D216</f>
        <v>1.9</v>
      </c>
      <c r="G204" s="5">
        <f>Future!D216</f>
        <v>1.9</v>
      </c>
      <c r="I204" s="5" t="str">
        <f>'Blk 1'!E216</f>
        <v>E</v>
      </c>
      <c r="J204" s="5" t="str">
        <f>Future!E216</f>
        <v>E</v>
      </c>
      <c r="L204" s="5">
        <f>'Blk 1'!F216</f>
        <v>0</v>
      </c>
      <c r="M204">
        <f>Future!F216</f>
        <v>0</v>
      </c>
    </row>
    <row r="205" spans="1:13">
      <c r="A205" s="10">
        <v>2.1520999999999999</v>
      </c>
      <c r="B205" t="s">
        <v>194</v>
      </c>
      <c r="F205" s="5">
        <f>'Blk 1'!D217</f>
        <v>1.9</v>
      </c>
      <c r="G205" s="5">
        <f>Future!D217</f>
        <v>1.9</v>
      </c>
      <c r="I205" s="5" t="str">
        <f>'Blk 1'!E217</f>
        <v>E</v>
      </c>
      <c r="J205" s="5" t="str">
        <f>Future!E217</f>
        <v>E</v>
      </c>
      <c r="L205" s="5">
        <f>'Blk 1'!F217</f>
        <v>0</v>
      </c>
      <c r="M205">
        <f>Future!F217</f>
        <v>0</v>
      </c>
    </row>
    <row r="206" spans="1:13">
      <c r="A206" s="9">
        <v>2.153</v>
      </c>
      <c r="B206" t="s">
        <v>126</v>
      </c>
      <c r="F206" s="5">
        <f>'Blk 1'!D218</f>
        <v>4.3</v>
      </c>
      <c r="G206" s="5">
        <f>Future!D218</f>
        <v>4.3</v>
      </c>
      <c r="I206" s="5" t="str">
        <f>'Blk 1'!E218</f>
        <v>E</v>
      </c>
      <c r="J206" s="5" t="str">
        <f>Future!E218</f>
        <v>E</v>
      </c>
      <c r="L206" s="5">
        <f>'Blk 1'!F218</f>
        <v>0</v>
      </c>
      <c r="M206">
        <f>Future!F218</f>
        <v>0</v>
      </c>
    </row>
    <row r="207" spans="1:13">
      <c r="A207" s="10">
        <v>2.1532</v>
      </c>
      <c r="B207" t="s">
        <v>195</v>
      </c>
      <c r="F207" s="5">
        <f>'Blk 1'!D219</f>
        <v>4.3</v>
      </c>
      <c r="G207" s="5">
        <f>Future!D219</f>
        <v>4.3</v>
      </c>
      <c r="I207" s="5" t="str">
        <f>'Blk 1'!E219</f>
        <v>E</v>
      </c>
      <c r="J207" s="5" t="str">
        <f>Future!E219</f>
        <v>E</v>
      </c>
      <c r="L207" s="5">
        <f>'Blk 1'!F219</f>
        <v>0</v>
      </c>
      <c r="M207">
        <f>Future!F219</f>
        <v>0</v>
      </c>
    </row>
    <row r="208" spans="1:13">
      <c r="A208" s="9">
        <v>2.1539999999999999</v>
      </c>
      <c r="B208" t="s">
        <v>127</v>
      </c>
      <c r="I208" s="5" t="str">
        <f>'Blk 1'!E220</f>
        <v>E</v>
      </c>
      <c r="J208" s="5" t="str">
        <f>Future!E220</f>
        <v>E</v>
      </c>
      <c r="L208" s="5">
        <f>'Blk 1'!F220</f>
        <v>0</v>
      </c>
      <c r="M208">
        <f>Future!F220</f>
        <v>0</v>
      </c>
    </row>
    <row r="209" spans="1:13">
      <c r="A209" s="8">
        <v>2.16</v>
      </c>
      <c r="B209" t="s">
        <v>128</v>
      </c>
      <c r="F209" s="5">
        <f>'Blk 1'!D221</f>
        <v>3.2</v>
      </c>
      <c r="G209" s="5">
        <f>Future!D221</f>
        <v>3.2</v>
      </c>
      <c r="I209" s="5" t="str">
        <f>'Blk 1'!E221</f>
        <v>E</v>
      </c>
      <c r="J209" s="5" t="str">
        <f>Future!E221</f>
        <v>E</v>
      </c>
      <c r="L209" s="5">
        <f>'Blk 1'!F221</f>
        <v>0</v>
      </c>
      <c r="M209">
        <f>Future!F221</f>
        <v>0</v>
      </c>
    </row>
    <row r="210" spans="1:13">
      <c r="A210" s="9">
        <v>2.1619999999999999</v>
      </c>
      <c r="B210" t="s">
        <v>196</v>
      </c>
      <c r="F210" s="5">
        <f>'Blk 1'!D222</f>
        <v>3.2</v>
      </c>
      <c r="G210" s="5">
        <f>Future!D222</f>
        <v>3.2</v>
      </c>
      <c r="I210" s="5" t="str">
        <f>'Blk 1'!E222</f>
        <v>E</v>
      </c>
      <c r="J210" s="5" t="str">
        <f>Future!E222</f>
        <v>E</v>
      </c>
      <c r="L210" s="5">
        <f>'Blk 1'!F222</f>
        <v>0</v>
      </c>
      <c r="M210">
        <f>Future!F222</f>
        <v>0</v>
      </c>
    </row>
    <row r="211" spans="1:13">
      <c r="A211" s="7">
        <v>2.2000000000000002</v>
      </c>
      <c r="B211" t="s">
        <v>129</v>
      </c>
      <c r="F211" s="5">
        <f>'Blk 1'!D223</f>
        <v>529.6</v>
      </c>
      <c r="G211" s="5">
        <f>Future!D223</f>
        <v>529.6</v>
      </c>
      <c r="I211" s="5" t="str">
        <f>'Blk 1'!E223</f>
        <v>E</v>
      </c>
      <c r="J211" s="5" t="str">
        <f>Future!E223</f>
        <v>E</v>
      </c>
      <c r="L211" s="5">
        <f>'Blk 1'!F223</f>
        <v>0</v>
      </c>
      <c r="M211">
        <f>Future!F223</f>
        <v>0</v>
      </c>
    </row>
    <row r="212" spans="1:13">
      <c r="A212" s="8">
        <v>2.21</v>
      </c>
      <c r="B212" t="s">
        <v>130</v>
      </c>
      <c r="F212" s="5">
        <f>'Blk 1'!D224</f>
        <v>300.8</v>
      </c>
      <c r="G212" s="5">
        <f>Future!D224</f>
        <v>300.8</v>
      </c>
      <c r="I212" s="5" t="str">
        <f>'Blk 1'!E224</f>
        <v>E</v>
      </c>
      <c r="J212" s="5" t="str">
        <f>Future!E224</f>
        <v>E</v>
      </c>
      <c r="L212" s="5">
        <f>'Blk 1'!F224</f>
        <v>0</v>
      </c>
      <c r="M212">
        <f>Future!F224</f>
        <v>0</v>
      </c>
    </row>
    <row r="213" spans="1:13">
      <c r="A213" s="9">
        <v>2.2109999999999999</v>
      </c>
      <c r="B213" t="s">
        <v>131</v>
      </c>
      <c r="F213" s="5">
        <f>'Blk 1'!D225</f>
        <v>81.3</v>
      </c>
      <c r="G213" s="5">
        <f>Future!D225</f>
        <v>81.3</v>
      </c>
      <c r="I213" s="5" t="str">
        <f>'Blk 1'!E225</f>
        <v>E</v>
      </c>
      <c r="J213" s="5" t="str">
        <f>Future!E225</f>
        <v>E</v>
      </c>
      <c r="L213" s="5">
        <f>'Blk 1'!F225</f>
        <v>0</v>
      </c>
      <c r="M213">
        <f>Future!F225</f>
        <v>0</v>
      </c>
    </row>
    <row r="214" spans="1:13">
      <c r="A214" s="10">
        <v>2.2111000000000001</v>
      </c>
      <c r="B214" t="s">
        <v>197</v>
      </c>
      <c r="F214" s="5">
        <f>'Blk 1'!D226</f>
        <v>81.3</v>
      </c>
      <c r="G214" s="5">
        <f>Future!D226</f>
        <v>81.3</v>
      </c>
      <c r="I214" s="5" t="str">
        <f>'Blk 1'!E226</f>
        <v>E</v>
      </c>
      <c r="J214" s="5" t="str">
        <f>Future!E226</f>
        <v>E</v>
      </c>
      <c r="L214" s="5">
        <f>'Blk 1'!F226</f>
        <v>0</v>
      </c>
      <c r="M214">
        <f>Future!F226</f>
        <v>0</v>
      </c>
    </row>
    <row r="215" spans="1:13">
      <c r="A215" s="9">
        <v>2.2120000000000002</v>
      </c>
      <c r="B215" t="s">
        <v>132</v>
      </c>
      <c r="F215" s="5">
        <f>'Blk 1'!D227</f>
        <v>69.7</v>
      </c>
      <c r="G215" s="5">
        <f>Future!D227</f>
        <v>69.7</v>
      </c>
      <c r="I215" s="5" t="str">
        <f>'Blk 1'!E227</f>
        <v>E</v>
      </c>
      <c r="J215" s="5" t="str">
        <f>Future!E227</f>
        <v>E</v>
      </c>
      <c r="L215" s="5">
        <f>'Blk 1'!F227</f>
        <v>0</v>
      </c>
      <c r="M215">
        <f>Future!F227</f>
        <v>0</v>
      </c>
    </row>
    <row r="216" spans="1:13">
      <c r="A216" s="10">
        <v>2.2121</v>
      </c>
      <c r="B216" t="s">
        <v>198</v>
      </c>
      <c r="F216" s="5">
        <f>'Blk 1'!D228</f>
        <v>69.7</v>
      </c>
      <c r="G216" s="5">
        <f>Future!D228</f>
        <v>69.7</v>
      </c>
      <c r="I216" s="5" t="str">
        <f>'Blk 1'!E228</f>
        <v>E</v>
      </c>
      <c r="J216" s="5" t="str">
        <f>Future!E228</f>
        <v>E</v>
      </c>
      <c r="L216" s="5">
        <f>'Blk 1'!F228</f>
        <v>0</v>
      </c>
      <c r="M216">
        <f>Future!F228</f>
        <v>0</v>
      </c>
    </row>
    <row r="217" spans="1:13">
      <c r="A217" s="9">
        <v>2.2130000000000001</v>
      </c>
      <c r="B217" t="s">
        <v>133</v>
      </c>
      <c r="F217" s="5">
        <f>'Blk 1'!D229</f>
        <v>138.1</v>
      </c>
      <c r="G217" s="5">
        <f>Future!D229</f>
        <v>138.1</v>
      </c>
      <c r="I217" s="5" t="str">
        <f>'Blk 1'!E229</f>
        <v>E</v>
      </c>
      <c r="J217" s="5" t="str">
        <f>Future!E229</f>
        <v>E</v>
      </c>
      <c r="L217" s="5">
        <f>'Blk 1'!F229</f>
        <v>0</v>
      </c>
      <c r="M217">
        <f>Future!F229</f>
        <v>0</v>
      </c>
    </row>
    <row r="218" spans="1:13">
      <c r="A218" s="10">
        <v>2.2130999999999998</v>
      </c>
      <c r="B218" t="s">
        <v>199</v>
      </c>
      <c r="F218" s="5">
        <f>'Blk 1'!D230</f>
        <v>20.7</v>
      </c>
      <c r="G218" s="5">
        <f>Future!D230</f>
        <v>20.7</v>
      </c>
      <c r="I218" s="5" t="str">
        <f>'Blk 1'!E230</f>
        <v>E</v>
      </c>
      <c r="J218" s="5" t="str">
        <f>Future!E230</f>
        <v>E</v>
      </c>
      <c r="L218" s="5">
        <f>'Blk 1'!F230</f>
        <v>0</v>
      </c>
      <c r="M218">
        <f>Future!F230</f>
        <v>0</v>
      </c>
    </row>
    <row r="219" spans="1:13">
      <c r="A219" s="10">
        <v>2.2132999999999998</v>
      </c>
      <c r="B219" t="s">
        <v>200</v>
      </c>
      <c r="F219" s="5">
        <f>'Blk 1'!D231</f>
        <v>117.5</v>
      </c>
      <c r="G219" s="5">
        <f>Future!D231</f>
        <v>117.5</v>
      </c>
      <c r="I219" s="5" t="str">
        <f>'Blk 1'!E231</f>
        <v>E</v>
      </c>
      <c r="J219" s="5" t="str">
        <f>Future!E231</f>
        <v>E</v>
      </c>
      <c r="L219" s="5">
        <f>'Blk 1'!F231</f>
        <v>0</v>
      </c>
      <c r="M219">
        <f>Future!F231</f>
        <v>0</v>
      </c>
    </row>
    <row r="220" spans="1:13">
      <c r="A220" s="9">
        <v>2.214</v>
      </c>
      <c r="B220" t="s">
        <v>134</v>
      </c>
      <c r="F220" s="5">
        <f>'Blk 1'!D232</f>
        <v>11.6</v>
      </c>
      <c r="G220" s="5">
        <f>Future!D232</f>
        <v>11.6</v>
      </c>
      <c r="I220" s="5" t="str">
        <f>'Blk 1'!E232</f>
        <v>E</v>
      </c>
      <c r="J220" s="5" t="str">
        <f>Future!E232</f>
        <v>E</v>
      </c>
      <c r="L220" s="5">
        <f>'Blk 1'!F232</f>
        <v>0</v>
      </c>
      <c r="M220">
        <f>Future!F232</f>
        <v>0</v>
      </c>
    </row>
    <row r="221" spans="1:13">
      <c r="A221" s="10">
        <v>2.2141000000000002</v>
      </c>
      <c r="B221" t="s">
        <v>201</v>
      </c>
      <c r="F221" s="5">
        <f>'Blk 1'!D233</f>
        <v>11.6</v>
      </c>
      <c r="G221" s="5">
        <f>Future!D233</f>
        <v>11.6</v>
      </c>
      <c r="I221" s="5" t="str">
        <f>'Blk 1'!E233</f>
        <v>E</v>
      </c>
      <c r="J221" s="5" t="str">
        <f>Future!E233</f>
        <v>E</v>
      </c>
      <c r="L221" s="5">
        <f>'Blk 1'!F233</f>
        <v>0</v>
      </c>
      <c r="M221">
        <f>Future!F233</f>
        <v>0</v>
      </c>
    </row>
    <row r="222" spans="1:13">
      <c r="A222" s="9">
        <v>2.2149999999999999</v>
      </c>
      <c r="B222" t="s">
        <v>113</v>
      </c>
      <c r="I222" s="5" t="str">
        <f>'Blk 1'!E234</f>
        <v>E</v>
      </c>
      <c r="J222" s="5" t="str">
        <f>Future!E234</f>
        <v>E</v>
      </c>
      <c r="L222" s="5">
        <f>'Blk 1'!F234</f>
        <v>0</v>
      </c>
      <c r="M222">
        <f>Future!F234</f>
        <v>0</v>
      </c>
    </row>
    <row r="223" spans="1:13">
      <c r="A223" s="8">
        <v>2.2200000000000002</v>
      </c>
      <c r="B223" t="s">
        <v>135</v>
      </c>
      <c r="F223" s="5">
        <f>'Blk 1'!D235</f>
        <v>124.9</v>
      </c>
      <c r="G223" s="5">
        <f>Future!D235</f>
        <v>124.9</v>
      </c>
      <c r="I223" s="5" t="str">
        <f>'Blk 1'!E235</f>
        <v>E</v>
      </c>
      <c r="J223" s="5" t="str">
        <f>Future!E235</f>
        <v>E</v>
      </c>
      <c r="L223" s="5">
        <f>'Blk 1'!F235</f>
        <v>0</v>
      </c>
      <c r="M223">
        <f>Future!F235</f>
        <v>0</v>
      </c>
    </row>
    <row r="224" spans="1:13">
      <c r="A224" s="9">
        <v>2.2210000000000001</v>
      </c>
      <c r="B224" t="s">
        <v>136</v>
      </c>
      <c r="I224" s="5" t="str">
        <f>'Blk 1'!E236</f>
        <v>E</v>
      </c>
      <c r="J224" s="5" t="str">
        <f>Future!E236</f>
        <v>E</v>
      </c>
      <c r="L224" s="5">
        <f>'Blk 1'!F236</f>
        <v>0</v>
      </c>
      <c r="M224">
        <f>Future!F236</f>
        <v>0</v>
      </c>
    </row>
    <row r="225" spans="1:13">
      <c r="A225" s="9">
        <v>2.222</v>
      </c>
      <c r="B225" t="s">
        <v>137</v>
      </c>
      <c r="F225" s="5">
        <f>'Blk 1'!D237</f>
        <v>96.8</v>
      </c>
      <c r="G225" s="5">
        <f>Future!D237</f>
        <v>96.8</v>
      </c>
      <c r="I225" s="5" t="str">
        <f>'Blk 1'!E237</f>
        <v>E</v>
      </c>
      <c r="J225" s="5" t="str">
        <f>Future!E237</f>
        <v>E</v>
      </c>
      <c r="L225" s="5">
        <f>'Blk 1'!F237</f>
        <v>0</v>
      </c>
      <c r="M225">
        <f>Future!F237</f>
        <v>0</v>
      </c>
    </row>
    <row r="226" spans="1:13">
      <c r="A226" s="10">
        <v>2.2221000000000002</v>
      </c>
      <c r="B226" t="s">
        <v>202</v>
      </c>
      <c r="F226" s="5">
        <f>'Blk 1'!D238</f>
        <v>10.6</v>
      </c>
      <c r="G226" s="5">
        <f>Future!D238</f>
        <v>10.6</v>
      </c>
      <c r="I226" s="5" t="str">
        <f>'Blk 1'!E238</f>
        <v>E</v>
      </c>
      <c r="J226" s="5" t="str">
        <f>Future!E238</f>
        <v>E</v>
      </c>
      <c r="L226" s="5">
        <f>'Blk 1'!F238</f>
        <v>0</v>
      </c>
      <c r="M226">
        <f>Future!F238</f>
        <v>0</v>
      </c>
    </row>
    <row r="227" spans="1:13">
      <c r="A227" s="10">
        <v>2.2222</v>
      </c>
      <c r="B227" t="s">
        <v>203</v>
      </c>
      <c r="F227" s="5">
        <f>'Blk 1'!D239</f>
        <v>12.1</v>
      </c>
      <c r="G227" s="5">
        <f>Future!D239</f>
        <v>12.1</v>
      </c>
      <c r="I227" s="5" t="str">
        <f>'Blk 1'!E239</f>
        <v>E</v>
      </c>
      <c r="J227" s="5" t="str">
        <f>Future!E239</f>
        <v>E</v>
      </c>
      <c r="L227" s="5">
        <f>'Blk 1'!F239</f>
        <v>0</v>
      </c>
      <c r="M227">
        <f>Future!F239</f>
        <v>0</v>
      </c>
    </row>
    <row r="228" spans="1:13">
      <c r="A228" s="10">
        <v>2.2223000000000002</v>
      </c>
      <c r="B228" t="s">
        <v>204</v>
      </c>
      <c r="F228" s="5">
        <f>'Blk 1'!D240</f>
        <v>9.1</v>
      </c>
      <c r="G228" s="5">
        <f>Future!D240</f>
        <v>9.1</v>
      </c>
      <c r="I228" s="5" t="str">
        <f>'Blk 1'!E240</f>
        <v>E</v>
      </c>
      <c r="J228" s="5" t="str">
        <f>Future!E240</f>
        <v>E</v>
      </c>
      <c r="L228" s="5">
        <f>'Blk 1'!F240</f>
        <v>0</v>
      </c>
      <c r="M228">
        <f>Future!F240</f>
        <v>0</v>
      </c>
    </row>
    <row r="229" spans="1:13">
      <c r="A229" s="10">
        <v>2.2223999999999999</v>
      </c>
      <c r="B229" t="s">
        <v>205</v>
      </c>
      <c r="F229" s="5">
        <f>'Blk 1'!D241</f>
        <v>64.900000000000006</v>
      </c>
      <c r="G229" s="5">
        <f>Future!D241</f>
        <v>64.900000000000006</v>
      </c>
      <c r="I229" s="5" t="str">
        <f>'Blk 1'!E241</f>
        <v>E</v>
      </c>
      <c r="J229" s="5" t="str">
        <f>Future!E241</f>
        <v>E</v>
      </c>
      <c r="L229" s="5">
        <f>'Blk 1'!F241</f>
        <v>0</v>
      </c>
      <c r="M229">
        <f>Future!F241</f>
        <v>0</v>
      </c>
    </row>
    <row r="230" spans="1:13">
      <c r="A230" s="9">
        <v>2.2229999999999999</v>
      </c>
      <c r="B230" t="s">
        <v>138</v>
      </c>
      <c r="F230" s="5">
        <f>'Blk 1'!D242</f>
        <v>7.5</v>
      </c>
      <c r="G230" s="5">
        <f>Future!D242</f>
        <v>7.5</v>
      </c>
      <c r="I230" s="5" t="str">
        <f>'Blk 1'!E242</f>
        <v>E</v>
      </c>
      <c r="J230" s="5" t="str">
        <f>Future!E242</f>
        <v>E</v>
      </c>
      <c r="L230" s="5">
        <f>'Blk 1'!F242</f>
        <v>0</v>
      </c>
      <c r="M230">
        <f>Future!F242</f>
        <v>0</v>
      </c>
    </row>
    <row r="231" spans="1:13">
      <c r="A231" s="10">
        <v>2.2233000000000001</v>
      </c>
      <c r="B231" t="s">
        <v>206</v>
      </c>
      <c r="F231" s="5">
        <f>'Blk 1'!D243</f>
        <v>7.5</v>
      </c>
      <c r="G231" s="5">
        <f>Future!D243</f>
        <v>7.5</v>
      </c>
      <c r="I231" s="5" t="str">
        <f>'Blk 1'!E243</f>
        <v>E</v>
      </c>
      <c r="J231" s="5" t="str">
        <f>Future!E243</f>
        <v>E</v>
      </c>
      <c r="L231" s="5">
        <f>'Blk 1'!F243</f>
        <v>0</v>
      </c>
      <c r="M231">
        <f>Future!F243</f>
        <v>0</v>
      </c>
    </row>
    <row r="232" spans="1:13">
      <c r="A232" s="9">
        <v>2.2240000000000002</v>
      </c>
      <c r="B232" t="s">
        <v>139</v>
      </c>
      <c r="F232" s="5">
        <f>'Blk 1'!D244</f>
        <v>20.3</v>
      </c>
      <c r="G232" s="5">
        <f>Future!D244</f>
        <v>20.3</v>
      </c>
      <c r="I232" s="5" t="str">
        <f>'Blk 1'!E244</f>
        <v>E</v>
      </c>
      <c r="J232" s="5" t="str">
        <f>Future!E244</f>
        <v>E</v>
      </c>
      <c r="L232" s="5">
        <f>'Blk 1'!F244</f>
        <v>0</v>
      </c>
      <c r="M232">
        <f>Future!F244</f>
        <v>0</v>
      </c>
    </row>
    <row r="233" spans="1:13">
      <c r="A233" s="10">
        <v>2.2242999999999999</v>
      </c>
      <c r="B233" t="s">
        <v>207</v>
      </c>
      <c r="F233" s="5">
        <f>'Blk 1'!D245</f>
        <v>20.3</v>
      </c>
      <c r="G233" s="5">
        <f>Future!D245</f>
        <v>20.3</v>
      </c>
      <c r="I233" s="5" t="str">
        <f>'Blk 1'!E245</f>
        <v>E</v>
      </c>
      <c r="J233" s="5" t="str">
        <f>Future!E245</f>
        <v>E</v>
      </c>
      <c r="L233" s="5">
        <f>'Blk 1'!F245</f>
        <v>0</v>
      </c>
      <c r="M233">
        <f>Future!F245</f>
        <v>0</v>
      </c>
    </row>
    <row r="234" spans="1:13">
      <c r="A234" s="9">
        <v>2.2250000000000001</v>
      </c>
      <c r="B234" t="s">
        <v>140</v>
      </c>
      <c r="F234" s="5"/>
      <c r="G234" s="5"/>
      <c r="I234" s="5" t="str">
        <f>'Blk 1'!E246</f>
        <v>E</v>
      </c>
      <c r="J234" s="5" t="str">
        <f>Future!E246</f>
        <v>E</v>
      </c>
      <c r="L234" s="5">
        <f>'Blk 1'!F246</f>
        <v>0</v>
      </c>
      <c r="M234">
        <f>Future!F246</f>
        <v>0</v>
      </c>
    </row>
    <row r="235" spans="1:13">
      <c r="A235" s="9">
        <v>2.226</v>
      </c>
      <c r="B235" t="s">
        <v>141</v>
      </c>
      <c r="I235" s="5" t="str">
        <f>'Blk 1'!E247</f>
        <v>E</v>
      </c>
      <c r="J235" s="5" t="str">
        <f>Future!E247</f>
        <v>E</v>
      </c>
      <c r="L235" s="5">
        <f>'Blk 1'!F247</f>
        <v>0</v>
      </c>
      <c r="M235">
        <f>Future!F247</f>
        <v>0</v>
      </c>
    </row>
    <row r="236" spans="1:13">
      <c r="A236" s="8">
        <v>2.23</v>
      </c>
      <c r="B236" t="s">
        <v>142</v>
      </c>
      <c r="F236" s="5">
        <f>'Blk 1'!D248</f>
        <v>103.9</v>
      </c>
      <c r="G236" s="5">
        <f>Future!D248</f>
        <v>103.9</v>
      </c>
      <c r="I236" s="5" t="str">
        <f>'Blk 1'!E248</f>
        <v>E</v>
      </c>
      <c r="J236" s="5" t="str">
        <f>Future!E248</f>
        <v>E</v>
      </c>
      <c r="L236" s="5">
        <f>'Blk 1'!F248</f>
        <v>0</v>
      </c>
      <c r="M236">
        <f>Future!F248</f>
        <v>0</v>
      </c>
    </row>
    <row r="237" spans="1:13">
      <c r="A237" s="9">
        <v>2.2309999999999999</v>
      </c>
      <c r="B237" t="s">
        <v>143</v>
      </c>
      <c r="F237" s="5">
        <f>'Blk 1'!D249</f>
        <v>23.6</v>
      </c>
      <c r="G237" s="5">
        <f>Future!D249</f>
        <v>23.6</v>
      </c>
      <c r="I237" s="5" t="str">
        <f>'Blk 1'!E249</f>
        <v>E</v>
      </c>
      <c r="J237" s="5" t="str">
        <f>Future!E249</f>
        <v>E</v>
      </c>
      <c r="L237" s="5">
        <f>'Blk 1'!F249</f>
        <v>0</v>
      </c>
      <c r="M237">
        <f>Future!F249</f>
        <v>0</v>
      </c>
    </row>
    <row r="238" spans="1:13">
      <c r="A238" s="9">
        <v>2.2320000000000002</v>
      </c>
      <c r="B238" t="s">
        <v>144</v>
      </c>
      <c r="F238" s="5">
        <f>'Blk 1'!D250</f>
        <v>23.1</v>
      </c>
      <c r="G238" s="5">
        <f>Future!D250</f>
        <v>23.1</v>
      </c>
      <c r="I238" s="5" t="str">
        <f>'Blk 1'!E250</f>
        <v>E</v>
      </c>
      <c r="J238" s="5" t="str">
        <f>Future!E250</f>
        <v>E</v>
      </c>
      <c r="L238" s="5">
        <f>'Blk 1'!F250</f>
        <v>0</v>
      </c>
      <c r="M238">
        <f>Future!F250</f>
        <v>0</v>
      </c>
    </row>
    <row r="239" spans="1:13">
      <c r="A239" s="9">
        <v>2.2330000000000001</v>
      </c>
      <c r="B239" t="s">
        <v>145</v>
      </c>
      <c r="F239" s="5">
        <f>'Blk 1'!D251</f>
        <v>49.6</v>
      </c>
      <c r="G239" s="5">
        <f>Future!D251</f>
        <v>49.6</v>
      </c>
      <c r="I239" s="5" t="str">
        <f>'Blk 1'!E251</f>
        <v>E</v>
      </c>
      <c r="J239" s="5" t="str">
        <f>Future!E251</f>
        <v>E</v>
      </c>
      <c r="L239" s="5">
        <f>'Blk 1'!F251</f>
        <v>0</v>
      </c>
      <c r="M239">
        <f>Future!F251</f>
        <v>0</v>
      </c>
    </row>
    <row r="240" spans="1:13">
      <c r="A240" s="9">
        <v>2.234</v>
      </c>
      <c r="B240" t="s">
        <v>146</v>
      </c>
      <c r="F240" s="5">
        <f>'Blk 1'!D252</f>
        <v>7.5</v>
      </c>
      <c r="G240" s="5">
        <f>Future!D252</f>
        <v>7.5</v>
      </c>
      <c r="I240" s="5" t="str">
        <f>'Blk 1'!E252</f>
        <v>E</v>
      </c>
      <c r="J240" s="5" t="str">
        <f>Future!E252</f>
        <v>E</v>
      </c>
      <c r="L240" s="5">
        <f>'Blk 1'!F252</f>
        <v>0</v>
      </c>
      <c r="M240">
        <f>Future!F252</f>
        <v>0</v>
      </c>
    </row>
    <row r="241" spans="1:13">
      <c r="A241" s="10">
        <v>2.2341000000000002</v>
      </c>
      <c r="B241" t="s">
        <v>208</v>
      </c>
      <c r="F241" s="5">
        <f>'Blk 1'!D253</f>
        <v>7.5</v>
      </c>
      <c r="G241" s="5">
        <f>Future!D253</f>
        <v>7.5</v>
      </c>
      <c r="I241" s="5" t="str">
        <f>'Blk 1'!E253</f>
        <v>E</v>
      </c>
      <c r="J241" s="5" t="str">
        <f>Future!E253</f>
        <v>E</v>
      </c>
      <c r="L241" s="5">
        <f>'Blk 1'!F253</f>
        <v>0</v>
      </c>
      <c r="M241">
        <f>Future!F253</f>
        <v>0</v>
      </c>
    </row>
    <row r="242" spans="1:13">
      <c r="A242" s="7">
        <v>2.2999999999999998</v>
      </c>
      <c r="B242" t="s">
        <v>147</v>
      </c>
      <c r="F242" s="5">
        <f>'Blk 1'!D254</f>
        <v>76.5</v>
      </c>
      <c r="G242" s="5">
        <f>Future!D254</f>
        <v>76.5</v>
      </c>
      <c r="I242" s="5" t="str">
        <f>'Blk 1'!E254</f>
        <v>E</v>
      </c>
      <c r="J242" s="5" t="str">
        <f>Future!E254</f>
        <v>E</v>
      </c>
      <c r="L242" s="5">
        <f>'Blk 1'!F254</f>
        <v>0</v>
      </c>
      <c r="M242">
        <f>Future!F254</f>
        <v>0</v>
      </c>
    </row>
    <row r="243" spans="1:13">
      <c r="A243" s="8">
        <v>2.31</v>
      </c>
      <c r="B243" t="s">
        <v>148</v>
      </c>
      <c r="F243" s="5">
        <f>'Blk 1'!D255</f>
        <v>46.1</v>
      </c>
      <c r="G243" s="5">
        <f>Future!D255</f>
        <v>46.1</v>
      </c>
      <c r="I243" s="5" t="str">
        <f>'Blk 1'!E255</f>
        <v>E</v>
      </c>
      <c r="J243" s="5" t="str">
        <f>Future!E255</f>
        <v>E</v>
      </c>
      <c r="L243" s="5">
        <f>'Blk 1'!F255</f>
        <v>0</v>
      </c>
      <c r="M243">
        <f>Future!F255</f>
        <v>0</v>
      </c>
    </row>
    <row r="244" spans="1:13">
      <c r="A244" s="9">
        <v>2.3170000000000002</v>
      </c>
      <c r="B244" t="s">
        <v>209</v>
      </c>
      <c r="F244" s="5">
        <f>'Blk 1'!D256</f>
        <v>6.7</v>
      </c>
      <c r="G244" s="5">
        <f>Future!D256</f>
        <v>6.7</v>
      </c>
      <c r="I244" s="5" t="str">
        <f>'Blk 1'!E256</f>
        <v>E</v>
      </c>
      <c r="J244" s="5" t="str">
        <f>Future!E256</f>
        <v>E</v>
      </c>
      <c r="L244" s="5">
        <f>'Blk 1'!F256</f>
        <v>0</v>
      </c>
      <c r="M244">
        <f>Future!F256</f>
        <v>0</v>
      </c>
    </row>
    <row r="245" spans="1:13">
      <c r="A245" s="10">
        <v>2.3100999999999998</v>
      </c>
      <c r="B245" t="s">
        <v>149</v>
      </c>
      <c r="I245" s="5" t="str">
        <f>'Blk 1'!E257</f>
        <v>E</v>
      </c>
      <c r="J245" s="5" t="str">
        <f>Future!E257</f>
        <v>E</v>
      </c>
      <c r="L245" s="5">
        <f>'Blk 1'!F257</f>
        <v>0</v>
      </c>
      <c r="M245">
        <f>Future!F257</f>
        <v>0</v>
      </c>
    </row>
    <row r="246" spans="1:13">
      <c r="A246" s="11">
        <v>2.3101099999999999</v>
      </c>
      <c r="B246" t="s">
        <v>210</v>
      </c>
      <c r="I246" s="5" t="str">
        <f>'Blk 1'!E258</f>
        <v>E</v>
      </c>
      <c r="J246" s="5" t="str">
        <f>Future!E258</f>
        <v>E</v>
      </c>
      <c r="L246" s="5">
        <f>'Blk 1'!F258</f>
        <v>0</v>
      </c>
      <c r="M246">
        <f>Future!F258</f>
        <v>0</v>
      </c>
    </row>
    <row r="247" spans="1:13">
      <c r="A247" s="11">
        <v>2.31012</v>
      </c>
      <c r="B247" t="s">
        <v>211</v>
      </c>
      <c r="F247" s="5">
        <f>'Blk 1'!D259</f>
        <v>24.1</v>
      </c>
      <c r="G247" s="5">
        <f>Future!D259</f>
        <v>24.1</v>
      </c>
      <c r="I247" s="5" t="str">
        <f>'Blk 1'!E259</f>
        <v>E</v>
      </c>
      <c r="J247" s="5" t="str">
        <f>Future!E259</f>
        <v>E</v>
      </c>
      <c r="L247" s="5">
        <f>'Blk 1'!F259</f>
        <v>0</v>
      </c>
      <c r="M247">
        <f>Future!F259</f>
        <v>0</v>
      </c>
    </row>
    <row r="248" spans="1:13">
      <c r="A248" s="11">
        <v>2.3102299999999998</v>
      </c>
      <c r="B248" t="s">
        <v>212</v>
      </c>
      <c r="F248" s="5">
        <f>'Blk 1'!D260</f>
        <v>5.2</v>
      </c>
      <c r="G248" s="5">
        <f>Future!D260</f>
        <v>5.2</v>
      </c>
      <c r="I248" s="5" t="str">
        <f>'Blk 1'!E260</f>
        <v>E</v>
      </c>
      <c r="J248" s="5" t="str">
        <f>Future!E260</f>
        <v>E</v>
      </c>
      <c r="L248" s="5">
        <f>'Blk 1'!F260</f>
        <v>0</v>
      </c>
      <c r="M248">
        <f>Future!F260</f>
        <v>0</v>
      </c>
    </row>
    <row r="249" spans="1:13">
      <c r="A249" s="11">
        <v>2.3102399999999998</v>
      </c>
      <c r="B249" t="s">
        <v>213</v>
      </c>
      <c r="F249" s="5">
        <f>'Blk 1'!D261</f>
        <v>4.5</v>
      </c>
      <c r="G249" s="5">
        <f>Future!D261</f>
        <v>4.5</v>
      </c>
      <c r="I249" s="5" t="str">
        <f>'Blk 1'!E261</f>
        <v>E</v>
      </c>
      <c r="J249" s="5" t="str">
        <f>Future!E261</f>
        <v>E</v>
      </c>
      <c r="L249" s="5">
        <f>'Blk 1'!F261</f>
        <v>0</v>
      </c>
      <c r="M249">
        <f>Future!F261</f>
        <v>0</v>
      </c>
    </row>
    <row r="250" spans="1:13">
      <c r="A250" s="11">
        <v>2.3102499999999999</v>
      </c>
      <c r="B250" t="s">
        <v>214</v>
      </c>
      <c r="F250" s="5">
        <f>'Blk 1'!D262</f>
        <v>5.5</v>
      </c>
      <c r="G250" s="5">
        <f>Future!D262</f>
        <v>5.5</v>
      </c>
      <c r="I250" s="5" t="str">
        <f>'Blk 1'!E262</f>
        <v>E</v>
      </c>
      <c r="J250" s="5" t="str">
        <f>Future!E262</f>
        <v>E</v>
      </c>
      <c r="L250" s="5">
        <f>'Blk 1'!F262</f>
        <v>0</v>
      </c>
      <c r="M250">
        <f>Future!F262</f>
        <v>0</v>
      </c>
    </row>
    <row r="251" spans="1:13">
      <c r="A251" s="11">
        <v>2.31027</v>
      </c>
      <c r="B251" t="s">
        <v>215</v>
      </c>
      <c r="F251" s="5"/>
      <c r="G251" s="5"/>
      <c r="I251" s="5" t="str">
        <f>'Blk 1'!E263</f>
        <v>E</v>
      </c>
      <c r="J251" s="5" t="str">
        <f>Future!E263</f>
        <v>E</v>
      </c>
      <c r="L251" s="5">
        <f>'Blk 1'!F263</f>
        <v>0</v>
      </c>
      <c r="M251">
        <f>Future!F263</f>
        <v>0</v>
      </c>
    </row>
    <row r="252" spans="1:13">
      <c r="A252" s="8">
        <v>2.33</v>
      </c>
      <c r="B252" t="s">
        <v>150</v>
      </c>
      <c r="F252" s="5">
        <f>'Blk 1'!D264</f>
        <v>13.9</v>
      </c>
      <c r="G252" s="5">
        <f>Future!D264</f>
        <v>13.9</v>
      </c>
      <c r="I252" s="5" t="str">
        <f>'Blk 1'!E264</f>
        <v>E</v>
      </c>
      <c r="J252" s="5" t="str">
        <f>Future!E264</f>
        <v>E</v>
      </c>
      <c r="L252" s="5">
        <f>'Blk 1'!F264</f>
        <v>0</v>
      </c>
      <c r="M252">
        <f>Future!F264</f>
        <v>0</v>
      </c>
    </row>
    <row r="253" spans="1:13">
      <c r="A253" s="9">
        <v>2.331</v>
      </c>
      <c r="B253" t="s">
        <v>151</v>
      </c>
      <c r="I253" s="5" t="str">
        <f>'Blk 1'!E265</f>
        <v>E</v>
      </c>
      <c r="J253" s="5" t="str">
        <f>Future!E265</f>
        <v>E</v>
      </c>
      <c r="L253" s="5">
        <f>'Blk 1'!F265</f>
        <v>0</v>
      </c>
      <c r="M253">
        <f>Future!F265</f>
        <v>0</v>
      </c>
    </row>
    <row r="254" spans="1:13">
      <c r="A254" s="9">
        <v>2.3319999999999999</v>
      </c>
      <c r="B254" t="s">
        <v>152</v>
      </c>
      <c r="F254" s="5">
        <f>'Blk 1'!D266</f>
        <v>13.9</v>
      </c>
      <c r="G254" s="5">
        <f>Future!D266</f>
        <v>13.9</v>
      </c>
      <c r="I254" s="5" t="str">
        <f>'Blk 1'!E266</f>
        <v>E</v>
      </c>
      <c r="J254" s="5" t="str">
        <f>Future!E266</f>
        <v>E</v>
      </c>
      <c r="L254" s="5">
        <f>'Blk 1'!F266</f>
        <v>0</v>
      </c>
      <c r="M254">
        <f>Future!F266</f>
        <v>0</v>
      </c>
    </row>
    <row r="255" spans="1:13">
      <c r="A255" s="10">
        <v>2.3321000000000001</v>
      </c>
      <c r="B255" t="s">
        <v>216</v>
      </c>
      <c r="F255" s="5">
        <f>'Blk 1'!D267</f>
        <v>7</v>
      </c>
      <c r="G255" s="5">
        <f>Future!D267</f>
        <v>7</v>
      </c>
      <c r="I255" s="5" t="str">
        <f>'Blk 1'!E267</f>
        <v>E</v>
      </c>
      <c r="J255" s="5" t="str">
        <f>Future!E267</f>
        <v>E</v>
      </c>
      <c r="L255" s="5">
        <f>'Blk 1'!F267</f>
        <v>0</v>
      </c>
      <c r="M255">
        <f>Future!F267</f>
        <v>0</v>
      </c>
    </row>
    <row r="256" spans="1:13">
      <c r="A256" s="10">
        <v>2.3323</v>
      </c>
      <c r="B256" t="s">
        <v>217</v>
      </c>
      <c r="F256" s="5">
        <f>'Blk 1'!D268</f>
        <v>7</v>
      </c>
      <c r="G256" s="5">
        <f>Future!D268</f>
        <v>7</v>
      </c>
      <c r="I256" s="5" t="str">
        <f>'Blk 1'!E268</f>
        <v>E</v>
      </c>
      <c r="J256" s="5" t="str">
        <f>Future!E268</f>
        <v>E</v>
      </c>
      <c r="L256" s="5">
        <f>'Blk 1'!F268</f>
        <v>0</v>
      </c>
      <c r="M256">
        <f>Future!F268</f>
        <v>0</v>
      </c>
    </row>
    <row r="257" spans="1:13">
      <c r="A257" s="8">
        <v>2.34</v>
      </c>
      <c r="B257" t="s">
        <v>153</v>
      </c>
      <c r="F257" s="5">
        <f>'Blk 1'!D269</f>
        <v>16.5</v>
      </c>
      <c r="G257" s="5">
        <f>Future!D269</f>
        <v>16.5</v>
      </c>
      <c r="I257" s="5" t="str">
        <f>'Blk 1'!E269</f>
        <v>E</v>
      </c>
      <c r="J257" s="5" t="str">
        <f>Future!E269</f>
        <v>E</v>
      </c>
      <c r="L257" s="5">
        <f>'Blk 1'!F269</f>
        <v>0</v>
      </c>
      <c r="M257">
        <f>Future!F269</f>
        <v>0</v>
      </c>
    </row>
    <row r="258" spans="1:13">
      <c r="A258" s="9">
        <v>2.3410000000000002</v>
      </c>
      <c r="B258" t="s">
        <v>154</v>
      </c>
      <c r="F258" s="5">
        <f>'Blk 1'!D270</f>
        <v>16.5</v>
      </c>
      <c r="G258" s="5">
        <f>Future!D270</f>
        <v>16.5</v>
      </c>
      <c r="I258" s="5" t="str">
        <f>'Blk 1'!E270</f>
        <v>E</v>
      </c>
      <c r="J258" s="5" t="str">
        <f>Future!E270</f>
        <v>E</v>
      </c>
      <c r="L258" s="5">
        <f>'Blk 1'!F270</f>
        <v>0</v>
      </c>
      <c r="M258">
        <f>Future!F270</f>
        <v>0</v>
      </c>
    </row>
    <row r="259" spans="1:13">
      <c r="A259" s="10">
        <v>2.3411</v>
      </c>
      <c r="B259" t="s">
        <v>218</v>
      </c>
      <c r="F259" s="5">
        <f>'Blk 1'!D271</f>
        <v>5.4</v>
      </c>
      <c r="G259" s="5">
        <f>Future!D271</f>
        <v>5.4</v>
      </c>
      <c r="I259" s="5" t="str">
        <f>'Blk 1'!E271</f>
        <v>E</v>
      </c>
      <c r="J259" s="5" t="str">
        <f>Future!E271</f>
        <v>E</v>
      </c>
      <c r="L259" s="5">
        <f>'Blk 1'!F271</f>
        <v>2</v>
      </c>
      <c r="M259">
        <f>Future!F271</f>
        <v>2</v>
      </c>
    </row>
    <row r="260" spans="1:13">
      <c r="A260" s="10">
        <v>2.3414000000000001</v>
      </c>
      <c r="B260" t="s">
        <v>219</v>
      </c>
      <c r="F260" s="5">
        <f>'Blk 1'!D272</f>
        <v>11.1</v>
      </c>
      <c r="G260" s="5">
        <f>Future!D272</f>
        <v>11.1</v>
      </c>
      <c r="I260" s="5" t="str">
        <f>'Blk 1'!E272</f>
        <v>E</v>
      </c>
      <c r="J260" s="5" t="str">
        <f>Future!E272</f>
        <v>E</v>
      </c>
      <c r="L260" s="5">
        <f>'Blk 1'!F272</f>
        <v>2</v>
      </c>
      <c r="M260">
        <f>Future!F272</f>
        <v>2</v>
      </c>
    </row>
    <row r="261" spans="1:13">
      <c r="A261" s="9">
        <v>2.3420000000000001</v>
      </c>
      <c r="B261" t="s">
        <v>155</v>
      </c>
      <c r="I261" s="5" t="str">
        <f>'Blk 1'!E273</f>
        <v>E</v>
      </c>
      <c r="J261" s="5" t="str">
        <f>Future!E273</f>
        <v>E</v>
      </c>
      <c r="L261" s="5">
        <f>'Blk 1'!F273</f>
        <v>0</v>
      </c>
      <c r="M261">
        <f>Future!F273</f>
        <v>0</v>
      </c>
    </row>
    <row r="262" spans="1:13">
      <c r="A262" s="8">
        <v>2.35</v>
      </c>
      <c r="B262" t="s">
        <v>156</v>
      </c>
      <c r="I262" s="5" t="str">
        <f>'Blk 1'!E274</f>
        <v>E</v>
      </c>
      <c r="J262" s="5" t="str">
        <f>Future!E274</f>
        <v>E</v>
      </c>
      <c r="L262" s="5">
        <f>'Blk 1'!F274</f>
        <v>0</v>
      </c>
      <c r="M262">
        <f>Future!F274</f>
        <v>0</v>
      </c>
    </row>
    <row r="263" spans="1:13">
      <c r="A263" s="9">
        <v>2.3519999999999999</v>
      </c>
      <c r="B263" t="s">
        <v>157</v>
      </c>
      <c r="I263" s="5" t="str">
        <f>'Blk 1'!E275</f>
        <v>E</v>
      </c>
      <c r="J263" s="5" t="str">
        <f>Future!E275</f>
        <v>E</v>
      </c>
      <c r="L263" s="5">
        <f>'Blk 1'!F275</f>
        <v>0</v>
      </c>
      <c r="M263">
        <f>Future!F275</f>
        <v>0</v>
      </c>
    </row>
    <row r="264" spans="1:13">
      <c r="A264" s="7">
        <v>2.4</v>
      </c>
      <c r="B264" t="s">
        <v>158</v>
      </c>
      <c r="F264" s="5">
        <f>'Blk 1'!D276</f>
        <v>151.30000000000001</v>
      </c>
      <c r="G264" s="5">
        <f>Future!D276</f>
        <v>151.30000000000001</v>
      </c>
      <c r="I264" s="5" t="str">
        <f>'Blk 1'!E276</f>
        <v>E</v>
      </c>
      <c r="J264" s="5" t="str">
        <f>Future!E276</f>
        <v>E</v>
      </c>
      <c r="L264" s="5">
        <f>'Blk 1'!F276</f>
        <v>0</v>
      </c>
      <c r="M264">
        <f>Future!F276</f>
        <v>0</v>
      </c>
    </row>
    <row r="265" spans="1:13">
      <c r="A265" s="8">
        <v>2.41</v>
      </c>
      <c r="B265" t="s">
        <v>159</v>
      </c>
      <c r="F265" s="5">
        <f>'Blk 1'!D277</f>
        <v>55.9</v>
      </c>
      <c r="G265" s="5">
        <f>Future!D277</f>
        <v>55.9</v>
      </c>
      <c r="I265" s="5" t="str">
        <f>'Blk 1'!E277</f>
        <v>E</v>
      </c>
      <c r="J265" s="5" t="str">
        <f>Future!E277</f>
        <v>E</v>
      </c>
      <c r="L265" s="5">
        <f>'Blk 1'!F277</f>
        <v>0</v>
      </c>
      <c r="M265">
        <f>Future!F277</f>
        <v>0</v>
      </c>
    </row>
    <row r="266" spans="1:13">
      <c r="A266" s="9">
        <v>2.411</v>
      </c>
      <c r="B266" t="s">
        <v>220</v>
      </c>
      <c r="F266" s="5">
        <f>'Blk 1'!D278</f>
        <v>23.2</v>
      </c>
      <c r="G266" s="5">
        <f>Future!D278</f>
        <v>23.2</v>
      </c>
      <c r="I266" s="5" t="str">
        <f>'Blk 1'!E278</f>
        <v>E</v>
      </c>
      <c r="J266" s="5" t="str">
        <f>Future!E278</f>
        <v>E</v>
      </c>
      <c r="L266" s="5">
        <f>'Blk 1'!F278</f>
        <v>0</v>
      </c>
      <c r="M266">
        <f>Future!F278</f>
        <v>0</v>
      </c>
    </row>
    <row r="267" spans="1:13">
      <c r="A267" s="9">
        <v>2.415</v>
      </c>
      <c r="B267" t="s">
        <v>221</v>
      </c>
      <c r="I267" s="5" t="str">
        <f>'Blk 1'!E279</f>
        <v>E</v>
      </c>
      <c r="J267" s="5" t="str">
        <f>Future!E279</f>
        <v>E</v>
      </c>
      <c r="L267" s="5">
        <f>'Blk 1'!F279</f>
        <v>0</v>
      </c>
      <c r="M267">
        <f>Future!F279</f>
        <v>0</v>
      </c>
    </row>
    <row r="268" spans="1:13">
      <c r="A268" s="9">
        <v>2.4159999999999999</v>
      </c>
      <c r="B268" t="s">
        <v>222</v>
      </c>
      <c r="F268" s="5">
        <f>'Blk 1'!D280</f>
        <v>32.700000000000003</v>
      </c>
      <c r="G268" s="5">
        <f>Future!D280</f>
        <v>32.700000000000003</v>
      </c>
      <c r="I268" s="5" t="str">
        <f>'Blk 1'!E280</f>
        <v>E</v>
      </c>
      <c r="J268" s="5" t="str">
        <f>Future!E280</f>
        <v>E</v>
      </c>
      <c r="L268" s="5">
        <f>'Blk 1'!F280</f>
        <v>0</v>
      </c>
      <c r="M268">
        <f>Future!F280</f>
        <v>0</v>
      </c>
    </row>
    <row r="269" spans="1:13">
      <c r="A269" s="8">
        <v>2.42</v>
      </c>
      <c r="B269" t="s">
        <v>160</v>
      </c>
      <c r="F269" s="5">
        <f>'Blk 1'!D281</f>
        <v>72.5</v>
      </c>
      <c r="G269" s="5">
        <f>Future!D281</f>
        <v>72.5</v>
      </c>
      <c r="I269" s="5" t="str">
        <f>'Blk 1'!E281</f>
        <v>E</v>
      </c>
      <c r="J269" s="5" t="str">
        <f>Future!E281</f>
        <v>E</v>
      </c>
      <c r="L269" s="5">
        <f>'Blk 1'!F281</f>
        <v>0</v>
      </c>
      <c r="M269">
        <f>Future!F281</f>
        <v>0</v>
      </c>
    </row>
    <row r="270" spans="1:13">
      <c r="A270" s="9">
        <v>2.4209999999999998</v>
      </c>
      <c r="B270" t="s">
        <v>223</v>
      </c>
      <c r="F270" s="5">
        <f>'Blk 1'!D282</f>
        <v>72.5</v>
      </c>
      <c r="G270" s="5">
        <f>Future!D282</f>
        <v>72.5</v>
      </c>
      <c r="I270" s="5" t="str">
        <f>'Blk 1'!E282</f>
        <v>E</v>
      </c>
      <c r="J270" s="5" t="str">
        <f>Future!E282</f>
        <v>E</v>
      </c>
      <c r="L270" s="5">
        <f>'Blk 1'!F282</f>
        <v>0</v>
      </c>
      <c r="M270">
        <f>Future!F282</f>
        <v>0</v>
      </c>
    </row>
    <row r="271" spans="1:13">
      <c r="A271" s="9">
        <v>2.4239999999999999</v>
      </c>
      <c r="B271" t="s">
        <v>224</v>
      </c>
      <c r="I271" s="5" t="str">
        <f>'Blk 1'!E283</f>
        <v>E</v>
      </c>
      <c r="J271" s="5" t="str">
        <f>Future!E283</f>
        <v>E</v>
      </c>
      <c r="L271" s="5">
        <f>'Blk 1'!F283</f>
        <v>0</v>
      </c>
      <c r="M271">
        <f>Future!F283</f>
        <v>0</v>
      </c>
    </row>
    <row r="272" spans="1:13">
      <c r="A272" s="8">
        <v>2.44</v>
      </c>
      <c r="B272" t="s">
        <v>161</v>
      </c>
      <c r="F272" s="5">
        <f>'Blk 1'!D284</f>
        <v>13.9</v>
      </c>
      <c r="G272" s="5">
        <f>Future!D284</f>
        <v>13.9</v>
      </c>
      <c r="I272" s="5" t="str">
        <f>'Blk 1'!E284</f>
        <v>E</v>
      </c>
      <c r="J272" s="5" t="str">
        <f>Future!E284</f>
        <v>E</v>
      </c>
      <c r="L272" s="5">
        <f>'Blk 1'!F284</f>
        <v>0</v>
      </c>
      <c r="M272">
        <f>Future!F284</f>
        <v>0</v>
      </c>
    </row>
    <row r="273" spans="1:13">
      <c r="A273" s="9">
        <v>2.4420000000000002</v>
      </c>
      <c r="B273" t="s">
        <v>225</v>
      </c>
      <c r="F273" s="5">
        <f>'Blk 1'!D285</f>
        <v>13.9</v>
      </c>
      <c r="G273" s="5">
        <f>Future!D285</f>
        <v>13.9</v>
      </c>
      <c r="I273" s="5" t="str">
        <f>'Blk 1'!E285</f>
        <v>E</v>
      </c>
      <c r="J273" s="5" t="str">
        <f>Future!E285</f>
        <v>E</v>
      </c>
      <c r="L273" s="5">
        <f>'Blk 1'!F285</f>
        <v>0</v>
      </c>
      <c r="M273">
        <f>Future!F285</f>
        <v>0</v>
      </c>
    </row>
    <row r="274" spans="1:13">
      <c r="A274" s="8">
        <v>2.46</v>
      </c>
      <c r="B274" t="s">
        <v>162</v>
      </c>
      <c r="F274" s="5">
        <f>'Blk 1'!D286</f>
        <v>9</v>
      </c>
      <c r="G274" s="5">
        <f>Future!D286</f>
        <v>9</v>
      </c>
      <c r="I274" s="5" t="str">
        <f>'Blk 1'!E286</f>
        <v>E</v>
      </c>
      <c r="J274" s="5" t="str">
        <f>Future!E286</f>
        <v>E</v>
      </c>
      <c r="L274" s="5">
        <f>'Blk 1'!F286</f>
        <v>0</v>
      </c>
      <c r="M274">
        <f>Future!F286</f>
        <v>0</v>
      </c>
    </row>
    <row r="275" spans="1:13">
      <c r="A275" s="9">
        <v>2.4609999999999999</v>
      </c>
      <c r="B275" t="s">
        <v>226</v>
      </c>
      <c r="F275" s="5">
        <f>'Blk 1'!D287</f>
        <v>9</v>
      </c>
      <c r="G275" s="5">
        <f>Future!D287</f>
        <v>9</v>
      </c>
      <c r="I275" s="5" t="str">
        <f>'Blk 1'!E287</f>
        <v>E</v>
      </c>
      <c r="J275" s="5" t="str">
        <f>Future!E287</f>
        <v>E</v>
      </c>
      <c r="L275" s="5">
        <f>'Blk 1'!F287</f>
        <v>0</v>
      </c>
      <c r="M275">
        <f>Future!F287</f>
        <v>0</v>
      </c>
    </row>
    <row r="276" spans="1:13">
      <c r="A276" s="8">
        <v>2.4700000000000002</v>
      </c>
      <c r="B276" t="s">
        <v>163</v>
      </c>
      <c r="I276" s="5" t="str">
        <f>'Blk 1'!E288</f>
        <v>E</v>
      </c>
      <c r="J276" s="5" t="str">
        <f>Future!E288</f>
        <v>E</v>
      </c>
      <c r="L276" s="5">
        <f>'Blk 1'!F288</f>
        <v>0</v>
      </c>
      <c r="M276">
        <f>Future!F288</f>
        <v>0</v>
      </c>
    </row>
    <row r="277" spans="1:13">
      <c r="A277" s="8">
        <v>2.48</v>
      </c>
      <c r="B277" t="s">
        <v>164</v>
      </c>
      <c r="I277" s="5" t="str">
        <f>'Blk 1'!E289</f>
        <v>E</v>
      </c>
      <c r="J277" s="5" t="str">
        <f>Future!E289</f>
        <v>E</v>
      </c>
      <c r="L277" s="5">
        <f>'Blk 1'!F289</f>
        <v>0</v>
      </c>
      <c r="M277">
        <f>Future!F289</f>
        <v>0</v>
      </c>
    </row>
    <row r="278" spans="1:13">
      <c r="A278" s="7">
        <v>2.5</v>
      </c>
      <c r="B278" t="s">
        <v>165</v>
      </c>
      <c r="F278" s="5">
        <f>'Blk 1'!D290</f>
        <v>45.7</v>
      </c>
      <c r="G278" s="5">
        <f>Future!D290</f>
        <v>45.7</v>
      </c>
      <c r="I278" s="5" t="str">
        <f>'Blk 1'!E290</f>
        <v>E</v>
      </c>
      <c r="J278" s="5" t="str">
        <f>Future!E290</f>
        <v>E</v>
      </c>
      <c r="L278" s="5">
        <f>'Blk 1'!F290</f>
        <v>0</v>
      </c>
      <c r="M278">
        <f>Future!F290</f>
        <v>0</v>
      </c>
    </row>
    <row r="279" spans="1:13">
      <c r="A279" s="8">
        <v>2.5099999999999998</v>
      </c>
      <c r="B279" t="s">
        <v>166</v>
      </c>
      <c r="F279" s="5">
        <f>'Blk 1'!D291</f>
        <v>25.6</v>
      </c>
      <c r="G279" s="5">
        <f>Future!D291</f>
        <v>25.6</v>
      </c>
      <c r="I279" s="5" t="str">
        <f>'Blk 1'!E291</f>
        <v>E</v>
      </c>
      <c r="J279" s="5" t="str">
        <f>Future!E291</f>
        <v>E</v>
      </c>
      <c r="L279" s="5">
        <f>'Blk 1'!F291</f>
        <v>0</v>
      </c>
      <c r="M279">
        <f>Future!F291</f>
        <v>0</v>
      </c>
    </row>
    <row r="280" spans="1:13">
      <c r="A280" s="9">
        <v>2.5110000000000001</v>
      </c>
      <c r="B280" t="s">
        <v>227</v>
      </c>
      <c r="F280" s="5">
        <f>'Blk 1'!D292</f>
        <v>7.8</v>
      </c>
      <c r="G280" s="5">
        <f>Future!D292</f>
        <v>7.8</v>
      </c>
      <c r="I280" s="5" t="str">
        <f>'Blk 1'!E292</f>
        <v>E</v>
      </c>
      <c r="J280" s="5" t="str">
        <f>Future!E292</f>
        <v>E</v>
      </c>
      <c r="L280" s="5">
        <f>'Blk 1'!F292</f>
        <v>0</v>
      </c>
      <c r="M280">
        <f>Future!F292</f>
        <v>0</v>
      </c>
    </row>
    <row r="281" spans="1:13">
      <c r="A281" s="9">
        <v>2.512</v>
      </c>
      <c r="B281" t="s">
        <v>228</v>
      </c>
      <c r="F281" s="5">
        <f>'Blk 1'!D293</f>
        <v>3.2</v>
      </c>
      <c r="G281" s="5">
        <f>Future!D293</f>
        <v>3.2</v>
      </c>
      <c r="I281" s="5" t="str">
        <f>'Blk 1'!E293</f>
        <v>E</v>
      </c>
      <c r="J281" s="5" t="str">
        <f>Future!E293</f>
        <v>E</v>
      </c>
      <c r="L281" s="5">
        <f>'Blk 1'!F293</f>
        <v>0</v>
      </c>
      <c r="M281">
        <f>Future!F293</f>
        <v>0</v>
      </c>
    </row>
    <row r="282" spans="1:13">
      <c r="A282" s="9">
        <v>2.5129999999999999</v>
      </c>
      <c r="B282" t="s">
        <v>229</v>
      </c>
      <c r="F282" s="5">
        <f>'Blk 1'!D294</f>
        <v>14.5</v>
      </c>
      <c r="G282" s="5">
        <f>Future!D294</f>
        <v>14.5</v>
      </c>
      <c r="I282" s="5" t="str">
        <f>'Blk 1'!E294</f>
        <v>E</v>
      </c>
      <c r="J282" s="5" t="str">
        <f>Future!E294</f>
        <v>E</v>
      </c>
      <c r="L282" s="5">
        <f>'Blk 1'!F294</f>
        <v>0</v>
      </c>
      <c r="M282">
        <f>Future!F294</f>
        <v>0</v>
      </c>
    </row>
    <row r="283" spans="1:13">
      <c r="A283" s="8">
        <v>2.52</v>
      </c>
      <c r="B283" t="s">
        <v>167</v>
      </c>
      <c r="F283" s="5">
        <f>'Blk 1'!D295</f>
        <v>12.3</v>
      </c>
      <c r="G283" s="5">
        <f>Future!D295</f>
        <v>12.3</v>
      </c>
      <c r="I283" s="5" t="str">
        <f>'Blk 1'!E295</f>
        <v>E</v>
      </c>
      <c r="J283" s="5" t="str">
        <f>Future!E295</f>
        <v>E</v>
      </c>
      <c r="L283" s="5">
        <f>'Blk 1'!F295</f>
        <v>0</v>
      </c>
      <c r="M283">
        <f>Future!F295</f>
        <v>0</v>
      </c>
    </row>
    <row r="284" spans="1:13">
      <c r="A284" s="9">
        <v>2.5209999999999999</v>
      </c>
      <c r="B284" t="s">
        <v>230</v>
      </c>
      <c r="F284" s="5">
        <f>'Blk 1'!D296</f>
        <v>3.9</v>
      </c>
      <c r="G284" s="5">
        <f>Future!D296</f>
        <v>3.9</v>
      </c>
      <c r="I284" s="5" t="str">
        <f>'Blk 1'!E296</f>
        <v>E</v>
      </c>
      <c r="J284" s="5" t="str">
        <f>Future!E296</f>
        <v>E</v>
      </c>
      <c r="L284" s="5">
        <f>'Blk 1'!F296</f>
        <v>0</v>
      </c>
      <c r="M284">
        <f>Future!F296</f>
        <v>0</v>
      </c>
    </row>
    <row r="285" spans="1:13">
      <c r="A285" s="9">
        <v>2.5219999999999998</v>
      </c>
      <c r="B285" t="s">
        <v>231</v>
      </c>
      <c r="F285" s="5">
        <f>'Blk 1'!D297</f>
        <v>6.5</v>
      </c>
      <c r="G285" s="5">
        <f>Future!D297</f>
        <v>6.5</v>
      </c>
      <c r="I285" s="5" t="str">
        <f>'Blk 1'!E297</f>
        <v>E</v>
      </c>
      <c r="J285" s="5" t="str">
        <f>Future!E297</f>
        <v>E</v>
      </c>
      <c r="L285" s="5">
        <f>'Blk 1'!F297</f>
        <v>0</v>
      </c>
      <c r="M285">
        <f>Future!F297</f>
        <v>0</v>
      </c>
    </row>
    <row r="286" spans="1:13">
      <c r="A286" s="9">
        <v>2.5230000000000001</v>
      </c>
      <c r="B286" t="s">
        <v>232</v>
      </c>
      <c r="F286" s="5">
        <f>'Blk 1'!D298</f>
        <v>1.9</v>
      </c>
      <c r="G286" s="5">
        <f>Future!D298</f>
        <v>1.9</v>
      </c>
      <c r="I286" s="5" t="str">
        <f>'Blk 1'!E298</f>
        <v>E</v>
      </c>
      <c r="J286" s="5" t="str">
        <f>Future!E298</f>
        <v>E</v>
      </c>
      <c r="L286" s="5">
        <f>'Blk 1'!F298</f>
        <v>0</v>
      </c>
      <c r="M286">
        <f>Future!F298</f>
        <v>0</v>
      </c>
    </row>
    <row r="287" spans="1:13">
      <c r="A287" s="8">
        <v>2.5499999999999998</v>
      </c>
      <c r="B287" t="s">
        <v>168</v>
      </c>
      <c r="F287" s="5">
        <f>'Blk 1'!D299</f>
        <v>2.9</v>
      </c>
      <c r="G287" s="5">
        <f>Future!D299</f>
        <v>2.9</v>
      </c>
      <c r="I287" s="5" t="str">
        <f>'Blk 1'!E299</f>
        <v>E</v>
      </c>
      <c r="J287" s="5" t="str">
        <f>Future!E299</f>
        <v>E</v>
      </c>
      <c r="L287" s="5">
        <f>'Blk 1'!F299</f>
        <v>0</v>
      </c>
      <c r="M287">
        <f>Future!F299</f>
        <v>0</v>
      </c>
    </row>
    <row r="288" spans="1:13">
      <c r="A288" s="9">
        <v>2.5510000000000002</v>
      </c>
      <c r="B288" t="s">
        <v>233</v>
      </c>
      <c r="F288" s="5">
        <f>'Blk 1'!D300</f>
        <v>2.9</v>
      </c>
      <c r="G288" s="5">
        <f>Future!D300</f>
        <v>2.9</v>
      </c>
      <c r="I288" s="5" t="str">
        <f>'Blk 1'!E300</f>
        <v>E</v>
      </c>
      <c r="J288" s="5" t="str">
        <f>Future!E300</f>
        <v>E</v>
      </c>
      <c r="L288" s="5">
        <f>'Blk 1'!F300</f>
        <v>0</v>
      </c>
      <c r="M288">
        <f>Future!F300</f>
        <v>0</v>
      </c>
    </row>
    <row r="289" spans="1:13">
      <c r="A289" s="8">
        <v>2.56</v>
      </c>
      <c r="B289" t="s">
        <v>169</v>
      </c>
      <c r="F289" s="5">
        <f>'Blk 1'!D301</f>
        <v>2.7</v>
      </c>
      <c r="G289" s="5">
        <f>Future!D301</f>
        <v>2.7</v>
      </c>
      <c r="I289" s="5" t="str">
        <f>'Blk 1'!E301</f>
        <v>E</v>
      </c>
      <c r="J289" s="5" t="str">
        <f>Future!E301</f>
        <v>E</v>
      </c>
      <c r="L289" s="5">
        <f>'Blk 1'!F301</f>
        <v>0</v>
      </c>
      <c r="M289">
        <f>Future!F301</f>
        <v>0</v>
      </c>
    </row>
    <row r="290" spans="1:13">
      <c r="A290" s="8">
        <v>2.57</v>
      </c>
      <c r="B290" t="s">
        <v>170</v>
      </c>
      <c r="F290" s="5">
        <f>'Blk 1'!D302</f>
        <v>2.2000000000000002</v>
      </c>
      <c r="G290" s="5">
        <f>Future!D302</f>
        <v>2.2000000000000002</v>
      </c>
      <c r="I290" s="5" t="str">
        <f>'Blk 1'!E302</f>
        <v>E</v>
      </c>
      <c r="J290" s="5" t="str">
        <f>Future!E302</f>
        <v>E</v>
      </c>
      <c r="L290" s="5">
        <f>'Blk 1'!F302</f>
        <v>0</v>
      </c>
      <c r="M290">
        <f>Future!F302</f>
        <v>0</v>
      </c>
    </row>
    <row r="291" spans="1:13">
      <c r="A291" s="7">
        <v>2.6</v>
      </c>
      <c r="B291" t="s">
        <v>171</v>
      </c>
      <c r="F291" s="5">
        <f>'Blk 1'!D303</f>
        <v>102.9</v>
      </c>
      <c r="G291" s="5">
        <f>Future!D303</f>
        <v>103.7</v>
      </c>
      <c r="I291" s="5" t="str">
        <f>'Blk 1'!E303</f>
        <v>E</v>
      </c>
      <c r="J291" s="5" t="str">
        <f>Future!E303</f>
        <v>E</v>
      </c>
      <c r="L291" s="5">
        <f>'Blk 1'!F303</f>
        <v>0</v>
      </c>
      <c r="M291">
        <f>Future!F303</f>
        <v>0</v>
      </c>
    </row>
    <row r="292" spans="1:13">
      <c r="A292" s="8">
        <v>2.61</v>
      </c>
      <c r="B292" t="s">
        <v>172</v>
      </c>
      <c r="F292" s="5">
        <f>'Blk 1'!D304</f>
        <v>27.2</v>
      </c>
      <c r="G292" s="5">
        <f>Future!D304</f>
        <v>27.2</v>
      </c>
      <c r="I292" s="5" t="str">
        <f>'Blk 1'!E304</f>
        <v>E</v>
      </c>
      <c r="J292" s="5" t="str">
        <f>Future!E304</f>
        <v>E</v>
      </c>
      <c r="L292" s="5">
        <f>'Blk 1'!F304</f>
        <v>0</v>
      </c>
      <c r="M292">
        <f>Future!F304</f>
        <v>0</v>
      </c>
    </row>
    <row r="293" spans="1:13">
      <c r="A293" s="8">
        <v>2.62</v>
      </c>
      <c r="B293" t="s">
        <v>173</v>
      </c>
      <c r="F293" s="5">
        <f>'Blk 1'!D305</f>
        <v>36.4</v>
      </c>
      <c r="G293" s="5">
        <f>Future!D305</f>
        <v>36.4</v>
      </c>
      <c r="I293" s="5" t="str">
        <f>'Blk 1'!E305</f>
        <v>E</v>
      </c>
      <c r="J293" s="5" t="str">
        <f>Future!E305</f>
        <v>E</v>
      </c>
      <c r="L293" s="5">
        <f>'Blk 1'!F305</f>
        <v>0</v>
      </c>
      <c r="M293">
        <f>Future!F305</f>
        <v>0</v>
      </c>
    </row>
    <row r="294" spans="1:13">
      <c r="A294" s="9">
        <v>2.621</v>
      </c>
      <c r="B294" t="s">
        <v>234</v>
      </c>
      <c r="F294" s="5">
        <f>'Blk 1'!D306</f>
        <v>36.4</v>
      </c>
      <c r="G294" s="5">
        <f>Future!D306</f>
        <v>36.4</v>
      </c>
      <c r="I294" s="5" t="str">
        <f>'Blk 1'!E306</f>
        <v>E</v>
      </c>
      <c r="J294" s="5" t="str">
        <f>Future!E306</f>
        <v>E</v>
      </c>
      <c r="L294" s="5">
        <f>'Blk 1'!F306</f>
        <v>0</v>
      </c>
      <c r="M294">
        <f>Future!F306</f>
        <v>0</v>
      </c>
    </row>
    <row r="295" spans="1:13">
      <c r="A295" s="8">
        <v>2.63</v>
      </c>
      <c r="B295" t="s">
        <v>174</v>
      </c>
      <c r="F295" s="5">
        <f>'Blk 1'!D307</f>
        <v>39.200000000000003</v>
      </c>
      <c r="G295" s="5">
        <f>Future!D307</f>
        <v>40.200000000000003</v>
      </c>
      <c r="I295" s="5" t="str">
        <f>'Blk 1'!E307</f>
        <v>E</v>
      </c>
      <c r="J295" s="5" t="str">
        <f>Future!E307</f>
        <v>E</v>
      </c>
      <c r="L295" s="5">
        <f>'Blk 1'!F307</f>
        <v>0</v>
      </c>
      <c r="M295">
        <f>Future!F307</f>
        <v>0</v>
      </c>
    </row>
    <row r="296" spans="1:13">
      <c r="A296" s="7">
        <v>2.7</v>
      </c>
      <c r="B296" t="s">
        <v>175</v>
      </c>
      <c r="F296" s="5">
        <f>'Blk 1'!D308</f>
        <v>1.9</v>
      </c>
      <c r="G296" s="5">
        <f>Future!D308</f>
        <v>1.9</v>
      </c>
      <c r="I296" s="5" t="str">
        <f>'Blk 1'!E308</f>
        <v>E</v>
      </c>
      <c r="J296" s="5" t="str">
        <f>Future!E308</f>
        <v>E</v>
      </c>
      <c r="L296" s="5">
        <f>'Blk 1'!F308</f>
        <v>0</v>
      </c>
      <c r="M296">
        <f>Future!F308</f>
        <v>0</v>
      </c>
    </row>
    <row r="297" spans="1:13">
      <c r="A297" s="9">
        <v>2.71</v>
      </c>
      <c r="B297" t="s">
        <v>176</v>
      </c>
      <c r="F297" s="5">
        <f>'Blk 1'!D309</f>
        <v>1.9</v>
      </c>
      <c r="G297" s="5">
        <f>Future!D309</f>
        <v>1.9</v>
      </c>
      <c r="I297" s="5" t="str">
        <f>'Blk 1'!E309</f>
        <v>E</v>
      </c>
      <c r="J297" s="5" t="str">
        <f>Future!E309</f>
        <v>E</v>
      </c>
      <c r="L297" s="5">
        <f>'Blk 1'!F309</f>
        <v>0</v>
      </c>
      <c r="M297">
        <f>Future!F309</f>
        <v>0</v>
      </c>
    </row>
    <row r="298" spans="1:13">
      <c r="A298" s="3"/>
    </row>
    <row r="299" spans="1:13">
      <c r="A299" s="1">
        <v>3</v>
      </c>
      <c r="B299" t="s">
        <v>293</v>
      </c>
      <c r="C299" s="5">
        <f>'Blk 1'!C311</f>
        <v>2545.6</v>
      </c>
      <c r="D299">
        <f>Future!C311</f>
        <v>2545.9</v>
      </c>
      <c r="F299" s="5">
        <f>'Blk 1'!D311</f>
        <v>2828.3</v>
      </c>
      <c r="G299" s="5">
        <f>Future!D311</f>
        <v>2847</v>
      </c>
      <c r="H299" s="5"/>
      <c r="I299" s="5" t="str">
        <f>'Blk 1'!E311</f>
        <v>T</v>
      </c>
      <c r="J299" s="5" t="str">
        <f>Future!E311</f>
        <v>T</v>
      </c>
      <c r="L299" s="5">
        <f>'Blk 1'!F311</f>
        <v>0</v>
      </c>
      <c r="M299">
        <f>Future!F311</f>
        <v>0</v>
      </c>
    </row>
    <row r="300" spans="1:13">
      <c r="A300" s="7">
        <v>3.1</v>
      </c>
      <c r="B300" t="s">
        <v>236</v>
      </c>
      <c r="F300" s="5">
        <f>'Blk 1'!D314</f>
        <v>105.4</v>
      </c>
      <c r="G300" s="5">
        <f>Future!D314</f>
        <v>105.4</v>
      </c>
      <c r="I300" s="5" t="str">
        <f>'Blk 1'!E314</f>
        <v>E</v>
      </c>
      <c r="J300" s="5" t="str">
        <f>Future!E314</f>
        <v>E</v>
      </c>
      <c r="L300" s="5">
        <f>'Blk 1'!F314</f>
        <v>0</v>
      </c>
      <c r="M300">
        <f>Future!F314</f>
        <v>0</v>
      </c>
    </row>
    <row r="301" spans="1:13">
      <c r="A301" s="8">
        <v>3.11</v>
      </c>
      <c r="B301" t="s">
        <v>237</v>
      </c>
      <c r="F301" s="5">
        <f>'Blk 1'!D315</f>
        <v>105.4</v>
      </c>
      <c r="G301" s="5">
        <f>Future!D315</f>
        <v>105.4</v>
      </c>
      <c r="I301" s="5" t="str">
        <f>'Blk 1'!E315</f>
        <v>E</v>
      </c>
      <c r="J301" s="5" t="str">
        <f>Future!E315</f>
        <v>E</v>
      </c>
      <c r="L301" s="5">
        <f>'Blk 1'!F315</f>
        <v>0</v>
      </c>
      <c r="M301">
        <f>Future!F315</f>
        <v>0</v>
      </c>
    </row>
    <row r="302" spans="1:13">
      <c r="A302" s="8">
        <v>3.12</v>
      </c>
      <c r="B302" t="s">
        <v>238</v>
      </c>
      <c r="I302" s="5" t="str">
        <f>'Blk 1'!E316</f>
        <v>E</v>
      </c>
      <c r="J302" s="5" t="str">
        <f>Future!E316</f>
        <v>E</v>
      </c>
      <c r="L302" s="5">
        <f>'Blk 1'!F316</f>
        <v>0</v>
      </c>
      <c r="M302">
        <f>Future!F316</f>
        <v>0</v>
      </c>
    </row>
    <row r="303" spans="1:13">
      <c r="A303" s="8">
        <v>3.15</v>
      </c>
      <c r="B303" t="s">
        <v>239</v>
      </c>
      <c r="I303" s="5" t="str">
        <f>'Blk 1'!E317</f>
        <v>E</v>
      </c>
      <c r="J303" s="5" t="str">
        <f>Future!E317</f>
        <v>E</v>
      </c>
      <c r="L303" s="5">
        <f>'Blk 1'!F317</f>
        <v>0</v>
      </c>
      <c r="M303">
        <f>Future!F317</f>
        <v>0</v>
      </c>
    </row>
    <row r="304" spans="1:13">
      <c r="A304" s="7">
        <v>3.2</v>
      </c>
      <c r="B304" t="s">
        <v>240</v>
      </c>
      <c r="F304" s="5">
        <f>'Blk 1'!D318</f>
        <v>96.2</v>
      </c>
      <c r="G304" s="5">
        <f>Future!D318</f>
        <v>96.7</v>
      </c>
      <c r="I304" s="5" t="str">
        <f>'Blk 1'!E318</f>
        <v>E</v>
      </c>
      <c r="J304" s="5" t="str">
        <f>Future!E318</f>
        <v>E</v>
      </c>
      <c r="L304" s="5">
        <f>'Blk 1'!F318</f>
        <v>0</v>
      </c>
      <c r="M304">
        <f>Future!F318</f>
        <v>0</v>
      </c>
    </row>
    <row r="305" spans="1:13">
      <c r="A305" s="8">
        <v>3.21</v>
      </c>
      <c r="B305" t="s">
        <v>241</v>
      </c>
      <c r="I305" s="5" t="str">
        <f>'Blk 1'!E319</f>
        <v>E</v>
      </c>
      <c r="J305" s="5" t="str">
        <f>Future!E319</f>
        <v>E</v>
      </c>
      <c r="L305" s="5">
        <f>'Blk 1'!F319</f>
        <v>0</v>
      </c>
      <c r="M305">
        <f>Future!F319</f>
        <v>0</v>
      </c>
    </row>
    <row r="306" spans="1:13">
      <c r="A306" s="8">
        <v>3.22</v>
      </c>
      <c r="B306" t="s">
        <v>242</v>
      </c>
      <c r="F306" s="5">
        <f>'Blk 1'!D320</f>
        <v>55.2</v>
      </c>
      <c r="G306" s="5">
        <f>Future!D320</f>
        <v>55.7</v>
      </c>
      <c r="I306" s="5" t="str">
        <f>'Blk 1'!E320</f>
        <v>E</v>
      </c>
      <c r="J306" s="5" t="str">
        <f>Future!E320</f>
        <v>E</v>
      </c>
      <c r="L306" s="5">
        <f>'Blk 1'!F320</f>
        <v>0</v>
      </c>
      <c r="M306">
        <f>Future!F320</f>
        <v>0</v>
      </c>
    </row>
    <row r="307" spans="1:13">
      <c r="A307" s="8">
        <v>3.25</v>
      </c>
      <c r="B307" t="s">
        <v>243</v>
      </c>
      <c r="F307" s="5">
        <f>'Blk 1'!D321</f>
        <v>40.9</v>
      </c>
      <c r="G307" s="5">
        <f>Future!D321</f>
        <v>40.9</v>
      </c>
      <c r="I307" s="5" t="str">
        <f>'Blk 1'!E321</f>
        <v>E</v>
      </c>
      <c r="J307" s="5" t="str">
        <f>Future!E321</f>
        <v>E</v>
      </c>
      <c r="L307" s="5">
        <f>'Blk 1'!F321</f>
        <v>0</v>
      </c>
      <c r="M307">
        <f>Future!F321</f>
        <v>0</v>
      </c>
    </row>
    <row r="308" spans="1:13">
      <c r="A308" s="7">
        <v>3.3</v>
      </c>
      <c r="B308" t="s">
        <v>244</v>
      </c>
      <c r="F308" s="5">
        <f>'Blk 1'!D322</f>
        <v>184.9</v>
      </c>
      <c r="G308" s="5">
        <f>Future!D322</f>
        <v>190.5</v>
      </c>
      <c r="I308" s="5" t="str">
        <f>'Blk 1'!E322</f>
        <v>E</v>
      </c>
      <c r="J308" s="5" t="str">
        <f>Future!E322</f>
        <v>E</v>
      </c>
      <c r="L308" s="5">
        <f>'Blk 1'!F322</f>
        <v>0</v>
      </c>
      <c r="M308">
        <f>Future!F322</f>
        <v>0</v>
      </c>
    </row>
    <row r="309" spans="1:13">
      <c r="A309" s="9">
        <v>3.3010000000000002</v>
      </c>
      <c r="B309" t="s">
        <v>245</v>
      </c>
      <c r="F309" s="5">
        <f>'Blk 1'!D323</f>
        <v>22</v>
      </c>
      <c r="G309" s="5">
        <f>Future!D323</f>
        <v>22</v>
      </c>
      <c r="I309" s="5" t="str">
        <f>'Blk 1'!E323</f>
        <v>E</v>
      </c>
      <c r="J309" s="5" t="str">
        <f>Future!E323</f>
        <v>E</v>
      </c>
      <c r="L309" s="5">
        <f>'Blk 1'!F323</f>
        <v>0</v>
      </c>
      <c r="M309">
        <f>Future!F323</f>
        <v>0</v>
      </c>
    </row>
    <row r="310" spans="1:13">
      <c r="A310" s="9">
        <v>3.302</v>
      </c>
      <c r="B310" t="s">
        <v>246</v>
      </c>
      <c r="F310" s="5">
        <f>'Blk 1'!D324</f>
        <v>50.5</v>
      </c>
      <c r="G310" s="5">
        <f>Future!D324</f>
        <v>50.5</v>
      </c>
      <c r="I310" s="5" t="str">
        <f>'Blk 1'!E324</f>
        <v>E</v>
      </c>
      <c r="J310" s="5" t="str">
        <f>Future!E324</f>
        <v>E</v>
      </c>
      <c r="L310" s="5">
        <f>'Blk 1'!F324</f>
        <v>0</v>
      </c>
      <c r="M310">
        <f>Future!F324</f>
        <v>0</v>
      </c>
    </row>
    <row r="311" spans="1:13">
      <c r="A311" s="9">
        <v>3.3029999999999999</v>
      </c>
      <c r="B311" t="s">
        <v>247</v>
      </c>
      <c r="F311" s="5">
        <f>'Blk 1'!D325</f>
        <v>31</v>
      </c>
      <c r="G311" s="5">
        <f>Future!D325</f>
        <v>31</v>
      </c>
      <c r="I311" s="5" t="str">
        <f>'Blk 1'!E325</f>
        <v>E</v>
      </c>
      <c r="J311" s="5" t="str">
        <f>Future!E325</f>
        <v>E</v>
      </c>
      <c r="L311" s="5">
        <f>'Blk 1'!F325</f>
        <v>0</v>
      </c>
      <c r="M311">
        <f>Future!F325</f>
        <v>0</v>
      </c>
    </row>
    <row r="312" spans="1:13">
      <c r="A312" s="9">
        <v>3.3039999999999998</v>
      </c>
      <c r="B312" t="s">
        <v>248</v>
      </c>
      <c r="F312" s="5">
        <f>'Blk 1'!D326</f>
        <v>44.4</v>
      </c>
      <c r="G312" s="5">
        <f>Future!D326</f>
        <v>44.4</v>
      </c>
      <c r="I312" s="5" t="str">
        <f>'Blk 1'!E326</f>
        <v>E</v>
      </c>
      <c r="J312" s="5" t="str">
        <f>Future!E326</f>
        <v>E</v>
      </c>
      <c r="L312" s="5">
        <f>'Blk 1'!F326</f>
        <v>0</v>
      </c>
      <c r="M312">
        <f>Future!F326</f>
        <v>0</v>
      </c>
    </row>
    <row r="313" spans="1:13">
      <c r="A313" s="9">
        <v>3.3050000000000002</v>
      </c>
      <c r="B313" t="s">
        <v>249</v>
      </c>
      <c r="F313" s="5">
        <f>'Blk 1'!D327</f>
        <v>13.4</v>
      </c>
      <c r="G313" s="5">
        <f>Future!D327</f>
        <v>13.4</v>
      </c>
      <c r="I313" s="5" t="str">
        <f>'Blk 1'!E327</f>
        <v>E</v>
      </c>
      <c r="J313" s="5" t="str">
        <f>Future!E327</f>
        <v>E</v>
      </c>
      <c r="L313" s="5">
        <f>'Blk 1'!F327</f>
        <v>0</v>
      </c>
      <c r="M313">
        <f>Future!F327</f>
        <v>0</v>
      </c>
    </row>
    <row r="314" spans="1:13">
      <c r="A314" s="9">
        <v>3.306</v>
      </c>
      <c r="B314" t="s">
        <v>250</v>
      </c>
      <c r="F314" s="5">
        <f>'Blk 1'!D328</f>
        <v>23.6</v>
      </c>
      <c r="G314" s="5">
        <f>Future!D328</f>
        <v>29.2</v>
      </c>
      <c r="I314" s="5" t="str">
        <f>'Blk 1'!E328</f>
        <v>E</v>
      </c>
      <c r="J314" s="5" t="str">
        <f>Future!E328</f>
        <v>E</v>
      </c>
      <c r="L314" s="5">
        <f>'Blk 1'!F328</f>
        <v>0</v>
      </c>
      <c r="M314">
        <f>Future!F328</f>
        <v>0</v>
      </c>
    </row>
    <row r="315" spans="1:13">
      <c r="A315" s="9">
        <v>3.3069999999999999</v>
      </c>
      <c r="B315" t="s">
        <v>251</v>
      </c>
      <c r="I315" s="5" t="str">
        <f>'Blk 1'!E329</f>
        <v>E</v>
      </c>
      <c r="J315" s="5" t="str">
        <f>Future!E329</f>
        <v>E</v>
      </c>
      <c r="L315" s="5">
        <f>'Blk 1'!F329</f>
        <v>0</v>
      </c>
      <c r="M315">
        <f>Future!F329</f>
        <v>0</v>
      </c>
    </row>
    <row r="316" spans="1:13">
      <c r="A316" s="9">
        <v>3.3079999999999998</v>
      </c>
      <c r="B316" t="s">
        <v>252</v>
      </c>
      <c r="I316" s="5" t="str">
        <f>'Blk 1'!E330</f>
        <v>E</v>
      </c>
      <c r="J316" s="5" t="str">
        <f>Future!E330</f>
        <v>E</v>
      </c>
      <c r="L316" s="5">
        <f>'Blk 1'!F330</f>
        <v>0</v>
      </c>
      <c r="M316">
        <f>Future!F330</f>
        <v>0</v>
      </c>
    </row>
    <row r="317" spans="1:13">
      <c r="A317" s="9">
        <v>3.3090000000000002</v>
      </c>
      <c r="B317" t="s">
        <v>253</v>
      </c>
      <c r="I317" s="5" t="str">
        <f>'Blk 1'!E331</f>
        <v>E</v>
      </c>
      <c r="J317" s="5" t="str">
        <f>Future!E331</f>
        <v>E</v>
      </c>
      <c r="L317" s="5">
        <f>'Blk 1'!F331</f>
        <v>0</v>
      </c>
      <c r="M317">
        <f>Future!F331</f>
        <v>0</v>
      </c>
    </row>
    <row r="318" spans="1:13">
      <c r="A318" s="8">
        <v>3.31</v>
      </c>
      <c r="B318" t="s">
        <v>254</v>
      </c>
      <c r="I318" s="5" t="str">
        <f>'Blk 1'!E332</f>
        <v>E</v>
      </c>
      <c r="J318" s="5" t="str">
        <f>Future!E332</f>
        <v>E</v>
      </c>
      <c r="L318" s="5">
        <f>'Blk 1'!F332</f>
        <v>0</v>
      </c>
      <c r="M318">
        <f>Future!F332</f>
        <v>0</v>
      </c>
    </row>
    <row r="319" spans="1:13">
      <c r="A319" s="7">
        <v>3.5</v>
      </c>
      <c r="B319" t="s">
        <v>255</v>
      </c>
      <c r="F319" s="5">
        <f>SUM('Blk 1'!D333:D334)</f>
        <v>99.5</v>
      </c>
      <c r="G319" s="5">
        <f>SUM(Future!D333:E334)</f>
        <v>100.2</v>
      </c>
      <c r="I319" s="5" t="str">
        <f>'Blk 1'!E333</f>
        <v>D</v>
      </c>
      <c r="J319" s="5" t="str">
        <f>Future!E333</f>
        <v>D</v>
      </c>
      <c r="L319" s="5">
        <f>'Blk 1'!F333</f>
        <v>0</v>
      </c>
      <c r="M319">
        <f>Future!F333</f>
        <v>0</v>
      </c>
    </row>
    <row r="320" spans="1:13">
      <c r="A320" s="8">
        <v>3.51</v>
      </c>
      <c r="B320" t="s">
        <v>256</v>
      </c>
      <c r="F320" s="5">
        <f>'Blk 1'!D335</f>
        <v>58.4</v>
      </c>
      <c r="G320" s="5">
        <f>Future!D335</f>
        <v>59.2</v>
      </c>
      <c r="I320" s="5" t="str">
        <f>'Blk 1'!E335</f>
        <v>E</v>
      </c>
      <c r="J320" s="5" t="str">
        <f>Future!E335</f>
        <v>E</v>
      </c>
      <c r="L320" s="5">
        <f>'Blk 1'!F335</f>
        <v>0</v>
      </c>
      <c r="M320">
        <f>Future!F335</f>
        <v>0</v>
      </c>
    </row>
    <row r="321" spans="1:13">
      <c r="A321" s="8">
        <v>3.52</v>
      </c>
      <c r="B321" t="s">
        <v>257</v>
      </c>
      <c r="I321" s="5" t="str">
        <f>'Blk 1'!E336</f>
        <v>E</v>
      </c>
      <c r="J321" s="5" t="str">
        <f>Future!E336</f>
        <v>E</v>
      </c>
      <c r="L321" s="5">
        <f>'Blk 1'!F336</f>
        <v>0</v>
      </c>
      <c r="M321">
        <f>Future!F336</f>
        <v>0</v>
      </c>
    </row>
    <row r="322" spans="1:13">
      <c r="A322" s="8">
        <v>3.53</v>
      </c>
      <c r="B322" t="s">
        <v>258</v>
      </c>
      <c r="F322" s="5">
        <f>SUM('Blk 1'!D337:D338)</f>
        <v>41.1</v>
      </c>
      <c r="G322" s="5">
        <f>SUM(Future!D337:E338)</f>
        <v>41.1</v>
      </c>
      <c r="I322" s="5" t="str">
        <f>'Blk 1'!E337</f>
        <v>D</v>
      </c>
      <c r="J322" s="5" t="str">
        <f>Future!E337</f>
        <v>D</v>
      </c>
      <c r="L322" s="5">
        <f>'Blk 1'!F337</f>
        <v>0</v>
      </c>
      <c r="M322">
        <f>Future!F337</f>
        <v>0</v>
      </c>
    </row>
    <row r="323" spans="1:13">
      <c r="A323" s="8">
        <v>3.54</v>
      </c>
      <c r="B323" t="s">
        <v>259</v>
      </c>
      <c r="I323" s="5" t="str">
        <f>'Blk 1'!E339</f>
        <v>E</v>
      </c>
      <c r="J323" s="5" t="str">
        <f>Future!E339</f>
        <v>E</v>
      </c>
      <c r="L323" s="5">
        <f>'Blk 1'!F339</f>
        <v>0</v>
      </c>
      <c r="M323">
        <f>Future!F339</f>
        <v>0</v>
      </c>
    </row>
    <row r="324" spans="1:13">
      <c r="A324" s="7">
        <v>3.6</v>
      </c>
      <c r="B324" t="s">
        <v>260</v>
      </c>
      <c r="F324" s="5">
        <f>'Blk 1'!D340</f>
        <v>219.1</v>
      </c>
      <c r="G324" s="5">
        <f>Future!D340</f>
        <v>230.8</v>
      </c>
      <c r="I324" s="5" t="str">
        <f>'Blk 1'!E340</f>
        <v>E</v>
      </c>
      <c r="J324" s="5" t="str">
        <f>Future!E340</f>
        <v>E</v>
      </c>
      <c r="L324" s="5">
        <f>'Blk 1'!F340</f>
        <v>0</v>
      </c>
      <c r="M324">
        <f>Future!F340</f>
        <v>0</v>
      </c>
    </row>
    <row r="325" spans="1:13">
      <c r="A325" s="7">
        <v>3.61</v>
      </c>
      <c r="B325" t="s">
        <v>247</v>
      </c>
      <c r="F325" s="5">
        <f>'Blk 1'!D341</f>
        <v>158</v>
      </c>
      <c r="G325" s="5">
        <f>Future!D341</f>
        <v>158</v>
      </c>
      <c r="I325" s="5" t="str">
        <f>'Blk 1'!E341</f>
        <v>E</v>
      </c>
      <c r="J325" s="5" t="str">
        <f>Future!E341</f>
        <v>E</v>
      </c>
      <c r="L325" s="5">
        <f>'Blk 1'!F341</f>
        <v>0</v>
      </c>
      <c r="M325">
        <f>Future!F341</f>
        <v>0</v>
      </c>
    </row>
    <row r="326" spans="1:13">
      <c r="A326" s="9">
        <v>3.6110000000000002</v>
      </c>
      <c r="B326" t="s">
        <v>261</v>
      </c>
      <c r="F326" s="5">
        <f>'Blk 1'!D342</f>
        <v>22.2</v>
      </c>
      <c r="G326" s="5">
        <f>Future!D342</f>
        <v>22.2</v>
      </c>
      <c r="I326" s="5" t="str">
        <f>'Blk 1'!E342</f>
        <v>E</v>
      </c>
      <c r="J326" s="5" t="str">
        <f>Future!E342</f>
        <v>E</v>
      </c>
      <c r="L326" s="5">
        <f>'Blk 1'!F342</f>
        <v>0</v>
      </c>
      <c r="M326">
        <f>Future!F342</f>
        <v>0</v>
      </c>
    </row>
    <row r="327" spans="1:13">
      <c r="A327" s="9">
        <v>3.6120000000000001</v>
      </c>
      <c r="B327" t="s">
        <v>262</v>
      </c>
      <c r="F327" s="5">
        <f>'Blk 1'!D343</f>
        <v>52.2</v>
      </c>
      <c r="G327" s="5">
        <f>Future!D343</f>
        <v>52.2</v>
      </c>
      <c r="I327" s="5" t="str">
        <f>'Blk 1'!E343</f>
        <v>E</v>
      </c>
      <c r="J327" s="5" t="str">
        <f>Future!E343</f>
        <v>E</v>
      </c>
      <c r="L327" s="5">
        <f>'Blk 1'!F343</f>
        <v>0</v>
      </c>
      <c r="M327">
        <f>Future!F343</f>
        <v>0</v>
      </c>
    </row>
    <row r="328" spans="1:13">
      <c r="A328" s="9">
        <v>3.613</v>
      </c>
      <c r="B328" t="s">
        <v>263</v>
      </c>
      <c r="F328" s="5">
        <f>'Blk 1'!D344</f>
        <v>73.400000000000006</v>
      </c>
      <c r="G328" s="5">
        <f>Future!D344</f>
        <v>73.400000000000006</v>
      </c>
      <c r="I328" s="5" t="str">
        <f>'Blk 1'!E344</f>
        <v>E</v>
      </c>
      <c r="J328" s="5" t="str">
        <f>Future!E344</f>
        <v>E</v>
      </c>
      <c r="L328" s="5">
        <f>'Blk 1'!F344</f>
        <v>0</v>
      </c>
      <c r="M328">
        <f>Future!F344</f>
        <v>0</v>
      </c>
    </row>
    <row r="329" spans="1:13">
      <c r="A329" s="9">
        <v>3.6139999999999999</v>
      </c>
      <c r="B329" t="s">
        <v>264</v>
      </c>
      <c r="F329" s="5">
        <f>'Blk 1'!D345</f>
        <v>10.1</v>
      </c>
      <c r="G329" s="5">
        <f>Future!D345</f>
        <v>10.1</v>
      </c>
      <c r="I329" s="5" t="str">
        <f>'Blk 1'!E345</f>
        <v>E</v>
      </c>
      <c r="J329" s="5" t="str">
        <f>Future!E345</f>
        <v>E</v>
      </c>
      <c r="L329" s="5">
        <f>'Blk 1'!F345</f>
        <v>0</v>
      </c>
      <c r="M329">
        <f>Future!F345</f>
        <v>0</v>
      </c>
    </row>
    <row r="330" spans="1:13">
      <c r="A330" s="8">
        <v>3.62</v>
      </c>
      <c r="B330" t="s">
        <v>265</v>
      </c>
      <c r="F330" s="5">
        <f>'Blk 1'!D346</f>
        <v>49</v>
      </c>
      <c r="G330" s="5">
        <f>Future!D346</f>
        <v>60.6</v>
      </c>
      <c r="I330" s="5" t="str">
        <f>'Blk 1'!E346</f>
        <v>E</v>
      </c>
      <c r="J330" s="5" t="str">
        <f>Future!E346</f>
        <v>E</v>
      </c>
      <c r="L330" s="5">
        <f>'Blk 1'!F346</f>
        <v>0</v>
      </c>
      <c r="M330">
        <f>Future!F346</f>
        <v>0</v>
      </c>
    </row>
    <row r="331" spans="1:13">
      <c r="A331" s="8">
        <v>3.63</v>
      </c>
      <c r="B331" t="s">
        <v>266</v>
      </c>
      <c r="F331" s="5">
        <f>'Blk 1'!D347</f>
        <v>12.1</v>
      </c>
      <c r="G331" s="5">
        <f>Future!D347</f>
        <v>12.1</v>
      </c>
      <c r="I331" s="5" t="str">
        <f>'Blk 1'!E347</f>
        <v>E</v>
      </c>
      <c r="J331" s="5" t="str">
        <f>Future!E347</f>
        <v>E</v>
      </c>
      <c r="L331" s="5">
        <f>'Blk 1'!F347</f>
        <v>0</v>
      </c>
      <c r="M331">
        <f>Future!F347</f>
        <v>0</v>
      </c>
    </row>
    <row r="332" spans="1:13">
      <c r="A332" s="8">
        <v>3.64</v>
      </c>
      <c r="B332" t="s">
        <v>267</v>
      </c>
      <c r="I332" s="5" t="str">
        <f>'Blk 1'!E348</f>
        <v>E</v>
      </c>
      <c r="J332" s="5" t="str">
        <f>Future!E348</f>
        <v>E</v>
      </c>
      <c r="L332" s="5">
        <f>'Blk 1'!F348</f>
        <v>0</v>
      </c>
      <c r="M332">
        <f>Future!F348</f>
        <v>0</v>
      </c>
    </row>
    <row r="333" spans="1:13">
      <c r="A333" s="7">
        <v>3.7</v>
      </c>
      <c r="B333" t="s">
        <v>80</v>
      </c>
      <c r="F333" s="5">
        <f>'Blk 1'!D349</f>
        <v>556</v>
      </c>
      <c r="G333" s="5">
        <f>Future!D349</f>
        <v>556</v>
      </c>
      <c r="I333" s="5" t="str">
        <f>'Blk 1'!E349</f>
        <v>E</v>
      </c>
      <c r="J333" s="5" t="str">
        <f>Future!E349</f>
        <v>E</v>
      </c>
      <c r="L333" s="5">
        <f>'Blk 1'!F349</f>
        <v>0</v>
      </c>
      <c r="M333">
        <f>Future!F349</f>
        <v>0</v>
      </c>
    </row>
    <row r="334" spans="1:13">
      <c r="A334" s="8">
        <v>3.71</v>
      </c>
      <c r="B334" t="s">
        <v>248</v>
      </c>
      <c r="F334" s="5">
        <f>'Blk 1'!D350</f>
        <v>396.5</v>
      </c>
      <c r="G334" s="5">
        <f>Future!D350</f>
        <v>396.5</v>
      </c>
      <c r="I334" s="5" t="str">
        <f>'Blk 1'!E350</f>
        <v>E</v>
      </c>
      <c r="J334" s="5" t="str">
        <f>Future!E350</f>
        <v>E</v>
      </c>
      <c r="L334" s="5">
        <f>'Blk 1'!F350</f>
        <v>0</v>
      </c>
      <c r="M334">
        <f>Future!F350</f>
        <v>0</v>
      </c>
    </row>
    <row r="335" spans="1:13">
      <c r="A335" s="9">
        <v>3.7109999999999999</v>
      </c>
      <c r="B335" t="s">
        <v>268</v>
      </c>
      <c r="F335" s="5">
        <f>'Blk 1'!D351</f>
        <v>43.7</v>
      </c>
      <c r="G335" s="5">
        <f>Future!D351</f>
        <v>43.7</v>
      </c>
      <c r="I335" s="5" t="str">
        <f>'Blk 1'!E351</f>
        <v>E</v>
      </c>
      <c r="J335" s="5" t="str">
        <f>Future!E351</f>
        <v>E</v>
      </c>
      <c r="L335" s="5">
        <f>'Blk 1'!F351</f>
        <v>0</v>
      </c>
      <c r="M335">
        <f>Future!F351</f>
        <v>0</v>
      </c>
    </row>
    <row r="336" spans="1:13">
      <c r="A336" s="9">
        <v>3.7120000000000002</v>
      </c>
      <c r="B336" t="s">
        <v>269</v>
      </c>
      <c r="F336" s="5">
        <f>'Blk 1'!D352</f>
        <v>13.6</v>
      </c>
      <c r="G336" s="5">
        <f>Future!D352</f>
        <v>13.6</v>
      </c>
      <c r="I336" s="5" t="str">
        <f>'Blk 1'!E352</f>
        <v>E</v>
      </c>
      <c r="J336" s="5" t="str">
        <f>Future!E352</f>
        <v>E</v>
      </c>
      <c r="L336" s="5">
        <f>'Blk 1'!F352</f>
        <v>0</v>
      </c>
      <c r="M336">
        <f>Future!F352</f>
        <v>0</v>
      </c>
    </row>
    <row r="337" spans="1:13">
      <c r="A337" s="9">
        <v>3.7130000000000001</v>
      </c>
      <c r="B337" t="s">
        <v>270</v>
      </c>
      <c r="F337" s="5">
        <f>'Blk 1'!D353</f>
        <v>279.8</v>
      </c>
      <c r="G337" s="5">
        <f>Future!D353</f>
        <v>279.8</v>
      </c>
      <c r="I337" s="5" t="str">
        <f>'Blk 1'!E353</f>
        <v>E</v>
      </c>
      <c r="J337" s="5" t="str">
        <f>Future!E353</f>
        <v>E</v>
      </c>
      <c r="L337" s="5">
        <f>'Blk 1'!F353</f>
        <v>0</v>
      </c>
      <c r="M337">
        <f>Future!F353</f>
        <v>0</v>
      </c>
    </row>
    <row r="338" spans="1:13">
      <c r="A338" s="9">
        <v>3.714</v>
      </c>
      <c r="B338" t="s">
        <v>271</v>
      </c>
      <c r="F338" s="5">
        <f>'Blk 1'!D354</f>
        <v>11.1</v>
      </c>
      <c r="G338" s="5">
        <f>Future!D354</f>
        <v>11.1</v>
      </c>
      <c r="I338" s="5" t="str">
        <f>'Blk 1'!E354</f>
        <v>E</v>
      </c>
      <c r="J338" s="5" t="str">
        <f>Future!E354</f>
        <v>E</v>
      </c>
      <c r="L338" s="5">
        <f>'Blk 1'!F354</f>
        <v>0</v>
      </c>
      <c r="M338">
        <f>Future!F354</f>
        <v>0</v>
      </c>
    </row>
    <row r="339" spans="1:13">
      <c r="A339" s="9">
        <v>3.7149999999999999</v>
      </c>
      <c r="B339" t="s">
        <v>272</v>
      </c>
      <c r="F339" s="5">
        <f>'Blk 1'!D355</f>
        <v>48.1</v>
      </c>
      <c r="G339" s="5">
        <f>Future!D355</f>
        <v>48.1</v>
      </c>
      <c r="I339" s="5" t="str">
        <f>'Blk 1'!E355</f>
        <v>E</v>
      </c>
      <c r="J339" s="5" t="str">
        <f>Future!E355</f>
        <v>E</v>
      </c>
      <c r="L339" s="5">
        <f>'Blk 1'!F355</f>
        <v>0</v>
      </c>
      <c r="M339">
        <f>Future!F355</f>
        <v>0</v>
      </c>
    </row>
    <row r="340" spans="1:13">
      <c r="A340" s="8">
        <v>3.72</v>
      </c>
      <c r="B340" t="s">
        <v>247</v>
      </c>
      <c r="F340" s="5">
        <f>'Blk 1'!D356</f>
        <v>9.1</v>
      </c>
      <c r="G340" s="5">
        <f>Future!D356</f>
        <v>9.1</v>
      </c>
      <c r="I340" s="5" t="str">
        <f>'Blk 1'!E356</f>
        <v>E</v>
      </c>
      <c r="J340" s="5" t="str">
        <f>Future!E356</f>
        <v>E</v>
      </c>
      <c r="L340" s="5">
        <f>'Blk 1'!F356</f>
        <v>0</v>
      </c>
      <c r="M340">
        <f>Future!F356</f>
        <v>0</v>
      </c>
    </row>
    <row r="341" spans="1:13">
      <c r="A341" s="8">
        <v>3.73</v>
      </c>
      <c r="B341" t="s">
        <v>250</v>
      </c>
      <c r="F341" s="5">
        <f>'Blk 1'!D357</f>
        <v>12.8</v>
      </c>
      <c r="G341" s="5">
        <f>Future!D357</f>
        <v>12.8</v>
      </c>
      <c r="I341" s="5" t="str">
        <f>'Blk 1'!E357</f>
        <v>E</v>
      </c>
      <c r="J341" s="5" t="str">
        <f>Future!E357</f>
        <v>E</v>
      </c>
      <c r="L341" s="5">
        <f>'Blk 1'!F357</f>
        <v>0</v>
      </c>
      <c r="M341">
        <f>Future!F357</f>
        <v>0</v>
      </c>
    </row>
    <row r="342" spans="1:13">
      <c r="A342" s="8">
        <v>3.74</v>
      </c>
      <c r="B342" t="s">
        <v>273</v>
      </c>
      <c r="F342" s="5">
        <f>'Blk 1'!D358</f>
        <v>113.7</v>
      </c>
      <c r="G342" s="5">
        <f>Future!D358</f>
        <v>113.7</v>
      </c>
      <c r="I342" s="5" t="str">
        <f>'Blk 1'!E358</f>
        <v>E</v>
      </c>
      <c r="J342" s="5" t="str">
        <f>Future!E358</f>
        <v>E</v>
      </c>
      <c r="L342" s="5">
        <f>'Blk 1'!F358</f>
        <v>0</v>
      </c>
      <c r="M342">
        <f>Future!F358</f>
        <v>0</v>
      </c>
    </row>
    <row r="343" spans="1:13">
      <c r="A343" s="8">
        <v>3.75</v>
      </c>
      <c r="B343" t="s">
        <v>251</v>
      </c>
      <c r="F343" s="5">
        <f>'Blk 1'!D359</f>
        <v>8.1</v>
      </c>
      <c r="G343" s="5">
        <f>Future!D359</f>
        <v>8.1</v>
      </c>
      <c r="I343" s="5" t="str">
        <f>'Blk 1'!E359</f>
        <v>E</v>
      </c>
      <c r="J343" s="5" t="str">
        <f>Future!E359</f>
        <v>E</v>
      </c>
      <c r="L343" s="5">
        <f>'Blk 1'!F359</f>
        <v>0</v>
      </c>
      <c r="M343">
        <f>Future!F359</f>
        <v>0</v>
      </c>
    </row>
    <row r="344" spans="1:13">
      <c r="A344" s="8">
        <v>3.76</v>
      </c>
      <c r="B344" t="s">
        <v>294</v>
      </c>
      <c r="F344" s="5">
        <f>'Blk 1'!D360</f>
        <v>9.5</v>
      </c>
      <c r="G344" s="5">
        <f>Future!D360</f>
        <v>9.5</v>
      </c>
      <c r="I344" s="5" t="str">
        <f>'Blk 1'!E360</f>
        <v>E</v>
      </c>
      <c r="J344" s="5" t="str">
        <f>Future!E360</f>
        <v>E</v>
      </c>
      <c r="L344" s="5">
        <f>'Blk 1'!F360</f>
        <v>0</v>
      </c>
      <c r="M344">
        <f>Future!F360</f>
        <v>0</v>
      </c>
    </row>
    <row r="345" spans="1:13">
      <c r="A345" s="8">
        <v>3.78</v>
      </c>
      <c r="B345" t="s">
        <v>274</v>
      </c>
      <c r="F345" s="5">
        <f>'Blk 1'!D361</f>
        <v>6</v>
      </c>
      <c r="G345" s="5">
        <f>Future!D361</f>
        <v>6</v>
      </c>
      <c r="I345" s="5" t="str">
        <f>'Blk 1'!E361</f>
        <v>E</v>
      </c>
      <c r="J345" s="5" t="str">
        <f>Future!E361</f>
        <v>E</v>
      </c>
      <c r="L345" s="5">
        <f>'Blk 1'!F361</f>
        <v>0</v>
      </c>
      <c r="M345">
        <f>Future!F361</f>
        <v>0</v>
      </c>
    </row>
    <row r="346" spans="1:13">
      <c r="A346" s="7">
        <v>3.8</v>
      </c>
      <c r="B346" t="s">
        <v>275</v>
      </c>
      <c r="F346" s="5">
        <f>SUM('Blk 1'!D362:D363)</f>
        <v>1547.4</v>
      </c>
      <c r="G346" s="5">
        <f>SUM(Future!D362:E363)</f>
        <v>1547.4</v>
      </c>
      <c r="I346" s="5" t="str">
        <f>'Blk 1'!E362</f>
        <v>D</v>
      </c>
      <c r="J346" s="5" t="str">
        <f>Future!E362</f>
        <v>D</v>
      </c>
      <c r="L346" s="5">
        <f>'Blk 1'!F362</f>
        <v>0</v>
      </c>
      <c r="M346">
        <f>Future!F362</f>
        <v>0</v>
      </c>
    </row>
    <row r="347" spans="1:13">
      <c r="A347" s="8">
        <v>3.82</v>
      </c>
      <c r="B347" t="s">
        <v>276</v>
      </c>
      <c r="F347" s="5">
        <f>SUM('Blk 1'!D364:D365)</f>
        <v>1547.4</v>
      </c>
      <c r="G347" s="5">
        <f>SUM(Future!D364:E365)</f>
        <v>1547.4</v>
      </c>
      <c r="I347" s="5" t="str">
        <f>'Blk 1'!E364</f>
        <v>D</v>
      </c>
      <c r="J347" s="5" t="str">
        <f>Future!E364</f>
        <v>D</v>
      </c>
      <c r="L347" s="5">
        <f>'Blk 1'!F364</f>
        <v>0</v>
      </c>
      <c r="M347">
        <f>Future!F364</f>
        <v>0</v>
      </c>
    </row>
    <row r="348" spans="1:13">
      <c r="A348" s="9">
        <v>3.8210000000000002</v>
      </c>
      <c r="B348" t="s">
        <v>277</v>
      </c>
      <c r="F348" s="5">
        <f>SUM('Blk 1'!D366:D367)</f>
        <v>1531.1000000000001</v>
      </c>
      <c r="G348" s="5">
        <f>SUM(Future!D366:E367)</f>
        <v>1531.1000000000001</v>
      </c>
      <c r="I348" s="5" t="str">
        <f>'Blk 1'!E366</f>
        <v>D</v>
      </c>
      <c r="J348" s="5" t="str">
        <f>Future!E366</f>
        <v>D</v>
      </c>
      <c r="L348" s="5">
        <f>'Blk 1'!F366</f>
        <v>0</v>
      </c>
      <c r="M348">
        <f>Future!F366</f>
        <v>0</v>
      </c>
    </row>
    <row r="349" spans="1:13">
      <c r="A349" s="9">
        <v>3.8220000000000001</v>
      </c>
      <c r="B349" t="s">
        <v>278</v>
      </c>
      <c r="F349" s="5">
        <f>SUM('Blk 1'!D368:D369)</f>
        <v>16.399999999999999</v>
      </c>
      <c r="G349" s="5">
        <f>SUM(Future!D368:E369)</f>
        <v>16.399999999999999</v>
      </c>
      <c r="I349" s="5" t="str">
        <f>'Blk 1'!E368</f>
        <v>D</v>
      </c>
      <c r="J349" s="5" t="str">
        <f>Future!E368</f>
        <v>D</v>
      </c>
      <c r="L349" s="5">
        <f>'Blk 1'!F368</f>
        <v>0</v>
      </c>
      <c r="M349">
        <f>Future!F368</f>
        <v>0</v>
      </c>
    </row>
    <row r="350" spans="1:13">
      <c r="A350" s="7">
        <v>3.9</v>
      </c>
      <c r="B350" t="s">
        <v>279</v>
      </c>
      <c r="C350" s="5">
        <f>'Blk 1'!C370</f>
        <v>2545.6</v>
      </c>
      <c r="D350">
        <f>Future!C370</f>
        <v>2545.9</v>
      </c>
      <c r="F350" s="5">
        <f>'Blk 1'!D370</f>
        <v>19.600000000000001</v>
      </c>
      <c r="G350" s="5">
        <f>Future!D370</f>
        <v>19.600000000000001</v>
      </c>
      <c r="H350" s="6"/>
      <c r="I350" s="5" t="str">
        <f>'Blk 1'!E370</f>
        <v>E</v>
      </c>
      <c r="J350" s="5" t="str">
        <f>Future!E370</f>
        <v>E</v>
      </c>
      <c r="L350" s="5">
        <f>'Blk 1'!F370</f>
        <v>0</v>
      </c>
      <c r="M350">
        <f>Future!F370</f>
        <v>0</v>
      </c>
    </row>
    <row r="351" spans="1:13">
      <c r="A351" s="8">
        <v>3.91</v>
      </c>
      <c r="B351" t="s">
        <v>280</v>
      </c>
      <c r="C351" s="5">
        <f>'Blk 1'!C371</f>
        <v>2155.1</v>
      </c>
      <c r="D351">
        <f>Future!C371</f>
        <v>2155.4</v>
      </c>
      <c r="I351" s="5" t="str">
        <f>'Blk 1'!E371</f>
        <v>E</v>
      </c>
      <c r="J351" s="5" t="str">
        <f>Future!E371</f>
        <v>E</v>
      </c>
      <c r="L351" s="5">
        <f>'Blk 1'!F371</f>
        <v>0</v>
      </c>
      <c r="M351">
        <f>Future!F371</f>
        <v>0</v>
      </c>
    </row>
    <row r="352" spans="1:13">
      <c r="A352" s="9">
        <v>3.911</v>
      </c>
      <c r="B352" t="s">
        <v>281</v>
      </c>
      <c r="C352" s="5">
        <f>'Blk 1'!C372</f>
        <v>2155.1</v>
      </c>
      <c r="D352">
        <f>Future!C372</f>
        <v>2155.4</v>
      </c>
      <c r="I352" s="5" t="str">
        <f>'Blk 1'!E372</f>
        <v>E</v>
      </c>
      <c r="J352" s="5" t="str">
        <f>Future!E372</f>
        <v>E</v>
      </c>
      <c r="L352" s="5">
        <f>'Blk 1'!F372</f>
        <v>0</v>
      </c>
      <c r="M352">
        <f>Future!F372</f>
        <v>0</v>
      </c>
    </row>
    <row r="353" spans="1:13">
      <c r="A353" s="10">
        <v>3.9110100000000001</v>
      </c>
      <c r="B353" t="s">
        <v>282</v>
      </c>
      <c r="C353" s="5">
        <f>'Blk 1'!C373</f>
        <v>1689</v>
      </c>
      <c r="D353">
        <f>Future!C373</f>
        <v>1689.2</v>
      </c>
      <c r="I353" s="5" t="str">
        <f>'Blk 1'!E373</f>
        <v>E</v>
      </c>
      <c r="J353" s="5" t="str">
        <f>Future!E373</f>
        <v>E</v>
      </c>
      <c r="L353" s="5">
        <f>'Blk 1'!F373</f>
        <v>0</v>
      </c>
      <c r="M353">
        <f>Future!F373</f>
        <v>0</v>
      </c>
    </row>
    <row r="354" spans="1:13">
      <c r="A354" s="10">
        <v>3.9110399999999998</v>
      </c>
      <c r="B354" t="s">
        <v>283</v>
      </c>
      <c r="C354" s="5">
        <f>'Blk 1'!C374</f>
        <v>466.2</v>
      </c>
      <c r="D354">
        <f>Future!C374</f>
        <v>466.2</v>
      </c>
      <c r="I354" s="5" t="str">
        <f>'Blk 1'!E374</f>
        <v>E</v>
      </c>
      <c r="J354" s="5" t="str">
        <f>Future!E374</f>
        <v>E</v>
      </c>
      <c r="L354" s="5">
        <f>'Blk 1'!F374</f>
        <v>0</v>
      </c>
      <c r="M354">
        <f>Future!F374</f>
        <v>0</v>
      </c>
    </row>
    <row r="355" spans="1:13">
      <c r="A355" s="9">
        <v>3.9140000000000001</v>
      </c>
      <c r="B355" t="s">
        <v>284</v>
      </c>
      <c r="I355" s="5" t="str">
        <f>'Blk 1'!E375</f>
        <v>E</v>
      </c>
      <c r="J355" s="5" t="str">
        <f>Future!E375</f>
        <v>E</v>
      </c>
      <c r="L355" s="5">
        <f>'Blk 1'!F375</f>
        <v>0</v>
      </c>
      <c r="M355">
        <f>Future!F375</f>
        <v>0</v>
      </c>
    </row>
    <row r="356" spans="1:13">
      <c r="A356" s="8">
        <v>3.92</v>
      </c>
      <c r="B356" t="s">
        <v>285</v>
      </c>
      <c r="I356" s="5" t="str">
        <f>'Blk 1'!E376</f>
        <v>E</v>
      </c>
      <c r="J356" s="5" t="str">
        <f>Future!E376</f>
        <v>E</v>
      </c>
      <c r="L356" s="5">
        <f>'Blk 1'!F376</f>
        <v>0</v>
      </c>
      <c r="M356">
        <f>Future!F376</f>
        <v>0</v>
      </c>
    </row>
    <row r="357" spans="1:13">
      <c r="A357" s="8">
        <v>3.93</v>
      </c>
      <c r="B357" t="s">
        <v>286</v>
      </c>
      <c r="C357" s="5">
        <f>'Blk 1'!C377</f>
        <v>60.2</v>
      </c>
      <c r="D357">
        <f>Future!C377</f>
        <v>60.2</v>
      </c>
      <c r="I357" s="5" t="str">
        <f>'Blk 1'!E377</f>
        <v>E</v>
      </c>
      <c r="J357" s="5" t="str">
        <f>Future!E377</f>
        <v>E</v>
      </c>
      <c r="L357" s="5">
        <f>'Blk 1'!F377</f>
        <v>0</v>
      </c>
      <c r="M357">
        <f>Future!F377</f>
        <v>0</v>
      </c>
    </row>
    <row r="358" spans="1:13">
      <c r="A358" s="8">
        <v>3.94</v>
      </c>
      <c r="B358" t="s">
        <v>287</v>
      </c>
      <c r="F358" s="5">
        <f>'Blk 1'!D378</f>
        <v>19.600000000000001</v>
      </c>
      <c r="G358" s="5">
        <f>Future!D378</f>
        <v>19.600000000000001</v>
      </c>
      <c r="I358" s="5" t="str">
        <f>'Blk 1'!E378</f>
        <v>E</v>
      </c>
      <c r="J358" s="5" t="str">
        <f>Future!E378</f>
        <v>E</v>
      </c>
      <c r="L358" s="5">
        <f>'Blk 1'!F378</f>
        <v>0</v>
      </c>
      <c r="M358">
        <f>Future!F378</f>
        <v>0</v>
      </c>
    </row>
    <row r="359" spans="1:13">
      <c r="A359" s="9">
        <v>3.9409999999999998</v>
      </c>
      <c r="B359" t="s">
        <v>288</v>
      </c>
      <c r="F359" s="5">
        <f>'Blk 1'!D379</f>
        <v>7.4</v>
      </c>
      <c r="G359" s="5">
        <f>Future!D379</f>
        <v>7.4</v>
      </c>
      <c r="I359" s="5" t="str">
        <f>'Blk 1'!E379</f>
        <v>E</v>
      </c>
      <c r="J359" s="5" t="str">
        <f>Future!E379</f>
        <v>E</v>
      </c>
      <c r="L359" s="5">
        <f>'Blk 1'!F379</f>
        <v>0</v>
      </c>
      <c r="M359">
        <f>Future!F379</f>
        <v>0</v>
      </c>
    </row>
    <row r="360" spans="1:13">
      <c r="A360" s="9">
        <v>3.9420000000000002</v>
      </c>
      <c r="B360" t="s">
        <v>289</v>
      </c>
      <c r="F360" s="5">
        <f>'Blk 1'!D380</f>
        <v>12.1</v>
      </c>
      <c r="G360" s="5">
        <f>Future!D380</f>
        <v>12.1</v>
      </c>
      <c r="I360" s="5" t="str">
        <f>'Blk 1'!E380</f>
        <v>E</v>
      </c>
      <c r="J360" s="5" t="str">
        <f>Future!E380</f>
        <v>E</v>
      </c>
      <c r="L360" s="5">
        <f>'Blk 1'!F380</f>
        <v>0</v>
      </c>
      <c r="M360">
        <f>Future!F380</f>
        <v>0</v>
      </c>
    </row>
    <row r="361" spans="1:13">
      <c r="A361" s="7">
        <v>3.95</v>
      </c>
      <c r="B361" t="s">
        <v>290</v>
      </c>
      <c r="C361" s="5">
        <f>'Blk 1'!C381</f>
        <v>330.3</v>
      </c>
      <c r="D361">
        <f>Future!C381</f>
        <v>330.3</v>
      </c>
      <c r="I361" s="5" t="str">
        <f>'Blk 1'!E381</f>
        <v>E</v>
      </c>
      <c r="J361" s="5" t="str">
        <f>Future!E381</f>
        <v>E</v>
      </c>
      <c r="L361" s="5">
        <f>'Blk 1'!F381</f>
        <v>0</v>
      </c>
      <c r="M361">
        <f>Future!F381</f>
        <v>0</v>
      </c>
    </row>
    <row r="362" spans="1:13">
      <c r="A362" s="7">
        <v>3.96</v>
      </c>
      <c r="B362" t="s">
        <v>291</v>
      </c>
      <c r="I362" s="5" t="str">
        <f>'Blk 1'!E382</f>
        <v>E</v>
      </c>
      <c r="J362" s="5" t="str">
        <f>Future!E382</f>
        <v>E</v>
      </c>
      <c r="L362" s="5">
        <f>'Blk 1'!F382</f>
        <v>0</v>
      </c>
      <c r="M362">
        <f>Future!F382</f>
        <v>0</v>
      </c>
    </row>
    <row r="363" spans="1:13">
      <c r="A363" s="7">
        <v>3.97</v>
      </c>
      <c r="B363" t="s">
        <v>292</v>
      </c>
      <c r="I363" s="5" t="str">
        <f>'Blk 1'!E383</f>
        <v>E</v>
      </c>
      <c r="J363" s="5" t="str">
        <f>Future!E383</f>
        <v>E</v>
      </c>
      <c r="L363" s="5">
        <f>'Blk 1'!F383</f>
        <v>0</v>
      </c>
      <c r="M363">
        <f>Future!F383</f>
        <v>0</v>
      </c>
    </row>
    <row r="364" spans="1:13">
      <c r="A364" s="3"/>
    </row>
    <row r="365" spans="1:13">
      <c r="A365" s="1">
        <v>4</v>
      </c>
      <c r="B365" t="s">
        <v>318</v>
      </c>
      <c r="F365" s="5">
        <f>'Blk 1'!D385</f>
        <v>409.3</v>
      </c>
      <c r="G365" s="5">
        <f>Future!D385</f>
        <v>411.6</v>
      </c>
      <c r="I365" s="5" t="str">
        <f>'Blk 1'!E385</f>
        <v>T</v>
      </c>
      <c r="J365" s="5" t="str">
        <f>Future!E385</f>
        <v>T</v>
      </c>
      <c r="L365" s="5">
        <f>'Blk 1'!F385</f>
        <v>0</v>
      </c>
      <c r="M365">
        <f>Future!F385</f>
        <v>0</v>
      </c>
    </row>
    <row r="366" spans="1:13">
      <c r="A366" s="7">
        <v>4.0999999999999996</v>
      </c>
      <c r="B366" t="s">
        <v>295</v>
      </c>
      <c r="F366" s="5">
        <f>SUM('Blk 1'!D388:D389)</f>
        <v>636.4</v>
      </c>
      <c r="G366" s="5">
        <f>SUM(Future!D388:E389)</f>
        <v>636.4</v>
      </c>
      <c r="I366" s="5" t="str">
        <f>'Blk 1'!E388</f>
        <v>D</v>
      </c>
      <c r="J366" s="5" t="str">
        <f>Future!E388</f>
        <v>D</v>
      </c>
      <c r="L366" s="5">
        <f>'Blk 1'!F388</f>
        <v>0</v>
      </c>
      <c r="M366">
        <f>Future!F388</f>
        <v>0</v>
      </c>
    </row>
    <row r="367" spans="1:13">
      <c r="A367" s="8">
        <v>4.13</v>
      </c>
      <c r="B367" t="s">
        <v>296</v>
      </c>
      <c r="F367" s="5">
        <f>SUM('Blk 1'!D390:D391)</f>
        <v>174.6</v>
      </c>
      <c r="G367" s="5">
        <f>SUM(Future!D390:E391)</f>
        <v>174.6</v>
      </c>
      <c r="I367" s="5" t="str">
        <f>'Blk 1'!E390</f>
        <v>D</v>
      </c>
      <c r="J367" s="5" t="str">
        <f>Future!E390</f>
        <v>D</v>
      </c>
      <c r="L367" s="5">
        <f>'Blk 1'!F390</f>
        <v>0</v>
      </c>
      <c r="M367">
        <f>Future!F390</f>
        <v>0</v>
      </c>
    </row>
    <row r="368" spans="1:13">
      <c r="A368" s="9">
        <v>4.1310000000000002</v>
      </c>
      <c r="B368" t="s">
        <v>297</v>
      </c>
      <c r="I368" s="5" t="str">
        <f>'Blk 1'!E392</f>
        <v>E</v>
      </c>
      <c r="J368" s="5" t="str">
        <f>Future!E392</f>
        <v>E</v>
      </c>
      <c r="L368" s="5">
        <f>'Blk 1'!F392</f>
        <v>0</v>
      </c>
      <c r="M368">
        <f>Future!F392</f>
        <v>0</v>
      </c>
    </row>
    <row r="369" spans="1:13">
      <c r="A369" s="9">
        <v>4.1319999999999997</v>
      </c>
      <c r="B369" t="s">
        <v>298</v>
      </c>
      <c r="F369" s="5">
        <f>SUM('Blk 1'!D393:D394)</f>
        <v>43.5</v>
      </c>
      <c r="G369" s="5">
        <f>SUM(Future!D393:E394)</f>
        <v>43.5</v>
      </c>
      <c r="I369" s="5" t="str">
        <f>'Blk 1'!E393</f>
        <v>D</v>
      </c>
      <c r="J369" s="5" t="str">
        <f>Future!E393</f>
        <v>D</v>
      </c>
      <c r="L369" s="5">
        <f>'Blk 1'!F393</f>
        <v>0</v>
      </c>
      <c r="M369">
        <f>Future!F393</f>
        <v>0</v>
      </c>
    </row>
    <row r="370" spans="1:13">
      <c r="A370" s="9">
        <v>4.133</v>
      </c>
      <c r="B370" t="s">
        <v>299</v>
      </c>
      <c r="F370" s="5">
        <f>SUM('Blk 1'!D395:D396)</f>
        <v>80.900000000000006</v>
      </c>
      <c r="G370" s="5">
        <f>SUM(Future!D395:E396)</f>
        <v>80.900000000000006</v>
      </c>
      <c r="I370" s="5" t="str">
        <f>'Blk 1'!E395</f>
        <v>D</v>
      </c>
      <c r="J370" s="5" t="str">
        <f>Future!E395</f>
        <v>D</v>
      </c>
      <c r="L370" s="5">
        <f>'Blk 1'!F395</f>
        <v>0</v>
      </c>
      <c r="M370">
        <f>Future!F395</f>
        <v>0</v>
      </c>
    </row>
    <row r="371" spans="1:13">
      <c r="A371" s="9">
        <v>4.1340000000000003</v>
      </c>
      <c r="B371" t="s">
        <v>78</v>
      </c>
      <c r="F371" s="5">
        <f>'Blk 1'!D397</f>
        <v>50.2</v>
      </c>
      <c r="G371" s="5">
        <f>Future!D397</f>
        <v>50.2</v>
      </c>
      <c r="I371" s="5" t="str">
        <f>'Blk 1'!E397</f>
        <v>E</v>
      </c>
      <c r="J371" s="5" t="str">
        <f>Future!E397</f>
        <v>E</v>
      </c>
      <c r="L371" s="5">
        <f>'Blk 1'!F397</f>
        <v>0</v>
      </c>
      <c r="M371">
        <f>Future!F397</f>
        <v>0</v>
      </c>
    </row>
    <row r="372" spans="1:13">
      <c r="A372" s="8">
        <v>4.1399999999999997</v>
      </c>
      <c r="B372" t="s">
        <v>300</v>
      </c>
      <c r="F372" s="5">
        <f>SUM('Blk 1'!D398:D399)</f>
        <v>461.7</v>
      </c>
      <c r="G372" s="5">
        <f>SUM(Future!D398:E399)</f>
        <v>461.7</v>
      </c>
      <c r="I372" s="5" t="str">
        <f>'Blk 1'!E398</f>
        <v>D</v>
      </c>
      <c r="J372" s="5" t="str">
        <f>Future!E398</f>
        <v>D</v>
      </c>
      <c r="L372" s="5">
        <f>'Blk 1'!F398</f>
        <v>0</v>
      </c>
      <c r="M372">
        <f>Future!F398</f>
        <v>0</v>
      </c>
    </row>
    <row r="373" spans="1:13">
      <c r="A373" s="9">
        <v>4.141</v>
      </c>
      <c r="B373" t="s">
        <v>297</v>
      </c>
      <c r="I373" s="5" t="str">
        <f>'Blk 1'!E400</f>
        <v>E</v>
      </c>
      <c r="J373" s="5" t="str">
        <f>Future!E400</f>
        <v>E</v>
      </c>
      <c r="L373" s="5">
        <f>'Blk 1'!F400</f>
        <v>0</v>
      </c>
      <c r="M373">
        <f>Future!F400</f>
        <v>0</v>
      </c>
    </row>
    <row r="374" spans="1:13">
      <c r="A374" s="9">
        <v>4.1420000000000003</v>
      </c>
      <c r="B374" t="s">
        <v>298</v>
      </c>
      <c r="F374" s="5">
        <f>SUM('Blk 1'!D401:D402)</f>
        <v>186.4</v>
      </c>
      <c r="G374" s="5">
        <f>SUM(Future!D401:E402)</f>
        <v>186.4</v>
      </c>
      <c r="I374" s="5" t="str">
        <f>'Blk 1'!E401</f>
        <v>D</v>
      </c>
      <c r="J374" s="5" t="str">
        <f>Future!E401</f>
        <v>D</v>
      </c>
      <c r="L374" s="5">
        <f>'Blk 1'!F401</f>
        <v>0</v>
      </c>
      <c r="M374">
        <f>Future!F401</f>
        <v>0</v>
      </c>
    </row>
    <row r="375" spans="1:13">
      <c r="A375" s="9">
        <v>4.1429999999999998</v>
      </c>
      <c r="B375" t="s">
        <v>299</v>
      </c>
      <c r="F375" s="5">
        <f>'Blk 1'!D403</f>
        <v>146.1</v>
      </c>
      <c r="G375" s="5">
        <f>Future!D403</f>
        <v>146.1</v>
      </c>
      <c r="I375" s="5" t="str">
        <f>'Blk 1'!E403</f>
        <v>D</v>
      </c>
      <c r="J375" s="5" t="str">
        <f>Future!E403</f>
        <v>D</v>
      </c>
      <c r="L375" s="5">
        <f>'Blk 1'!F403</f>
        <v>0</v>
      </c>
      <c r="M375">
        <f>Future!F403</f>
        <v>0</v>
      </c>
    </row>
    <row r="376" spans="1:13">
      <c r="A376" s="9">
        <v>4.1440000000000001</v>
      </c>
      <c r="B376" t="s">
        <v>78</v>
      </c>
      <c r="F376" s="5">
        <f>'Blk 1'!D405</f>
        <v>87.3</v>
      </c>
      <c r="G376" s="5">
        <f>Future!D405</f>
        <v>87.3</v>
      </c>
      <c r="I376" s="5" t="str">
        <f>'Blk 1'!E405</f>
        <v>E</v>
      </c>
      <c r="J376" s="5" t="str">
        <f>Future!E405</f>
        <v>E</v>
      </c>
      <c r="L376" s="5">
        <f>'Blk 1'!F405</f>
        <v>0</v>
      </c>
      <c r="M376">
        <f>Future!F405</f>
        <v>0</v>
      </c>
    </row>
    <row r="377" spans="1:13">
      <c r="A377" s="8">
        <v>4.17</v>
      </c>
      <c r="B377" t="s">
        <v>319</v>
      </c>
      <c r="I377" s="5" t="str">
        <f>'Blk 1'!E406</f>
        <v>E</v>
      </c>
      <c r="J377" s="5" t="str">
        <f>Future!E406</f>
        <v>E</v>
      </c>
      <c r="L377" s="5">
        <f>'Blk 1'!F406</f>
        <v>0</v>
      </c>
      <c r="M377">
        <f>Future!F406</f>
        <v>0</v>
      </c>
    </row>
    <row r="378" spans="1:13">
      <c r="A378" s="7">
        <v>4.2</v>
      </c>
      <c r="B378" t="s">
        <v>320</v>
      </c>
      <c r="I378" s="5" t="str">
        <f>'Blk 1'!E407</f>
        <v>E</v>
      </c>
      <c r="J378" s="5" t="str">
        <f>Future!E407</f>
        <v>E</v>
      </c>
      <c r="L378" s="5">
        <f>'Blk 1'!F407</f>
        <v>0</v>
      </c>
      <c r="M378">
        <f>Future!F407</f>
        <v>0</v>
      </c>
    </row>
    <row r="379" spans="1:13">
      <c r="A379" s="8">
        <v>4.21</v>
      </c>
      <c r="B379" t="s">
        <v>301</v>
      </c>
      <c r="I379" s="5" t="str">
        <f>'Blk 1'!E408</f>
        <v>E</v>
      </c>
      <c r="J379" s="5" t="str">
        <f>Future!E408</f>
        <v>E</v>
      </c>
      <c r="L379" s="5">
        <f>'Blk 1'!F408</f>
        <v>0</v>
      </c>
      <c r="M379">
        <f>Future!F408</f>
        <v>0</v>
      </c>
    </row>
    <row r="380" spans="1:13">
      <c r="A380" s="9">
        <v>4.2100099999999996</v>
      </c>
      <c r="B380" t="s">
        <v>302</v>
      </c>
      <c r="I380" s="5" t="str">
        <f>'Blk 1'!E409</f>
        <v>E</v>
      </c>
      <c r="J380" s="5" t="str">
        <f>Future!E409</f>
        <v>E</v>
      </c>
      <c r="L380" s="5">
        <f>'Blk 1'!F409</f>
        <v>0</v>
      </c>
      <c r="M380">
        <f>Future!F409</f>
        <v>0</v>
      </c>
    </row>
    <row r="381" spans="1:13">
      <c r="A381" s="8">
        <v>4.22</v>
      </c>
      <c r="B381" t="s">
        <v>321</v>
      </c>
      <c r="I381" s="5" t="str">
        <f>'Blk 1'!E410</f>
        <v>E</v>
      </c>
      <c r="J381" s="5" t="str">
        <f>Future!E410</f>
        <v>E</v>
      </c>
      <c r="L381" s="5">
        <f>'Blk 1'!F410</f>
        <v>0</v>
      </c>
      <c r="M381">
        <f>Future!F410</f>
        <v>0</v>
      </c>
    </row>
    <row r="382" spans="1:13">
      <c r="A382" s="8">
        <v>4.2300000000000004</v>
      </c>
      <c r="B382" t="s">
        <v>303</v>
      </c>
      <c r="I382" s="5" t="str">
        <f>'Blk 1'!E411</f>
        <v>E</v>
      </c>
      <c r="J382" s="5" t="str">
        <f>Future!E411</f>
        <v>E</v>
      </c>
      <c r="L382" s="5">
        <f>'Blk 1'!F411</f>
        <v>0</v>
      </c>
      <c r="M382">
        <f>Future!F411</f>
        <v>0</v>
      </c>
    </row>
    <row r="383" spans="1:13">
      <c r="A383" s="8">
        <v>4.24</v>
      </c>
      <c r="B383" t="s">
        <v>304</v>
      </c>
      <c r="I383" s="5" t="str">
        <f>'Blk 1'!E412</f>
        <v>E</v>
      </c>
      <c r="J383" s="5" t="str">
        <f>Future!E412</f>
        <v>E</v>
      </c>
      <c r="L383" s="5">
        <f>'Blk 1'!F412</f>
        <v>0</v>
      </c>
      <c r="M383">
        <f>Future!F412</f>
        <v>0</v>
      </c>
    </row>
    <row r="384" spans="1:13">
      <c r="A384" s="7">
        <v>4.3</v>
      </c>
      <c r="B384" t="s">
        <v>305</v>
      </c>
      <c r="F384" s="5">
        <f>SUM('Blk 1'!D413:D414)</f>
        <v>-227</v>
      </c>
      <c r="G384" s="5">
        <f>SUM(Future!D413:E414)</f>
        <v>-224.7</v>
      </c>
      <c r="I384" s="5" t="str">
        <f>'Blk 1'!E413</f>
        <v>D</v>
      </c>
      <c r="J384" s="5" t="str">
        <f>Future!E413</f>
        <v>D</v>
      </c>
      <c r="L384" s="5">
        <f>'Blk 1'!F413</f>
        <v>0</v>
      </c>
      <c r="M384">
        <f>Future!F413</f>
        <v>0</v>
      </c>
    </row>
    <row r="385" spans="1:13">
      <c r="A385" s="8">
        <v>4.3099999999999996</v>
      </c>
      <c r="B385" t="s">
        <v>322</v>
      </c>
      <c r="F385" s="5">
        <f>'Blk 1'!D415</f>
        <v>-867.5</v>
      </c>
      <c r="G385" s="5">
        <f>Future!D415</f>
        <v>-867.5</v>
      </c>
      <c r="I385" s="5" t="str">
        <f>'Blk 1'!E415</f>
        <v>E</v>
      </c>
      <c r="J385" s="5" t="str">
        <f>Future!E415</f>
        <v>E</v>
      </c>
      <c r="L385" s="5">
        <f>'Blk 1'!F415</f>
        <v>0</v>
      </c>
      <c r="M385">
        <f>Future!F415</f>
        <v>0</v>
      </c>
    </row>
    <row r="386" spans="1:13">
      <c r="A386" s="8">
        <v>4.32</v>
      </c>
      <c r="B386" t="s">
        <v>306</v>
      </c>
      <c r="I386" s="5" t="str">
        <f>'Blk 1'!E416</f>
        <v>E</v>
      </c>
      <c r="J386" s="5" t="str">
        <f>Future!E416</f>
        <v>E</v>
      </c>
      <c r="L386" s="5">
        <f>'Blk 1'!F416</f>
        <v>0</v>
      </c>
      <c r="M386">
        <f>Future!F416</f>
        <v>0</v>
      </c>
    </row>
    <row r="387" spans="1:13">
      <c r="A387" s="9">
        <v>4.3209999999999997</v>
      </c>
      <c r="B387" t="s">
        <v>307</v>
      </c>
      <c r="I387" s="5" t="str">
        <f>'Blk 1'!E417</f>
        <v>E</v>
      </c>
      <c r="J387" s="5" t="str">
        <f>Future!E417</f>
        <v>E</v>
      </c>
      <c r="L387" s="5">
        <f>'Blk 1'!F417</f>
        <v>0</v>
      </c>
      <c r="M387">
        <f>Future!F417</f>
        <v>0</v>
      </c>
    </row>
    <row r="388" spans="1:13">
      <c r="A388" s="9">
        <v>4.3220000000000001</v>
      </c>
      <c r="B388" t="s">
        <v>308</v>
      </c>
      <c r="I388" s="5" t="str">
        <f>'Blk 1'!E418</f>
        <v>E</v>
      </c>
      <c r="J388" s="5" t="str">
        <f>Future!E418</f>
        <v>E</v>
      </c>
      <c r="L388" s="5">
        <f>'Blk 1'!F418</f>
        <v>0</v>
      </c>
      <c r="M388">
        <f>Future!F418</f>
        <v>0</v>
      </c>
    </row>
    <row r="389" spans="1:13">
      <c r="A389" s="8">
        <v>4.33</v>
      </c>
      <c r="B389" t="s">
        <v>262</v>
      </c>
      <c r="F389" s="5">
        <f>'Blk 1'!D419</f>
        <v>194.5</v>
      </c>
      <c r="G389" s="5">
        <f>Future!D419</f>
        <v>196.8</v>
      </c>
      <c r="I389" s="5" t="str">
        <f>'Blk 1'!E419</f>
        <v>E</v>
      </c>
      <c r="J389" s="5" t="str">
        <f>Future!E419</f>
        <v>E</v>
      </c>
      <c r="L389" s="5">
        <f>'Blk 1'!F419</f>
        <v>0</v>
      </c>
      <c r="M389">
        <f>Future!F419</f>
        <v>0</v>
      </c>
    </row>
    <row r="390" spans="1:13">
      <c r="A390" s="9">
        <v>4.3310000000000004</v>
      </c>
      <c r="B390" t="s">
        <v>309</v>
      </c>
      <c r="F390" s="5">
        <f>'Blk 1'!D420</f>
        <v>98.5</v>
      </c>
      <c r="G390" s="5">
        <f>Future!D420</f>
        <v>98.5</v>
      </c>
      <c r="I390" s="5" t="str">
        <f>'Blk 1'!E420</f>
        <v>E</v>
      </c>
      <c r="J390" s="5" t="str">
        <f>Future!E420</f>
        <v>E</v>
      </c>
      <c r="L390" s="5">
        <f>'Blk 1'!F420</f>
        <v>0</v>
      </c>
      <c r="M390">
        <f>Future!F420</f>
        <v>0</v>
      </c>
    </row>
    <row r="391" spans="1:13">
      <c r="A391" s="10">
        <v>4.3311000000000002</v>
      </c>
      <c r="B391" t="s">
        <v>323</v>
      </c>
      <c r="I391" s="5" t="str">
        <f>'Blk 1'!E421</f>
        <v>E</v>
      </c>
      <c r="J391" s="5" t="str">
        <f>Future!E421</f>
        <v>E</v>
      </c>
      <c r="L391" s="5">
        <f>'Blk 1'!F421</f>
        <v>0</v>
      </c>
      <c r="M391">
        <f>Future!F421</f>
        <v>0</v>
      </c>
    </row>
    <row r="392" spans="1:13">
      <c r="A392" s="10">
        <v>4.3312999999999997</v>
      </c>
      <c r="B392" t="s">
        <v>310</v>
      </c>
      <c r="I392" s="5" t="str">
        <f>'Blk 1'!E422</f>
        <v>E</v>
      </c>
      <c r="J392" s="5" t="str">
        <f>Future!E422</f>
        <v>E</v>
      </c>
      <c r="L392" s="5">
        <f>'Blk 1'!F422</f>
        <v>0</v>
      </c>
      <c r="M392">
        <f>Future!F422</f>
        <v>0</v>
      </c>
    </row>
    <row r="393" spans="1:13">
      <c r="A393" s="10">
        <v>4.3314000000000004</v>
      </c>
      <c r="B393" t="s">
        <v>311</v>
      </c>
      <c r="F393" s="5">
        <f>'Blk 1'!D423</f>
        <v>98.5</v>
      </c>
      <c r="G393" s="5">
        <f>Future!D423</f>
        <v>98.5</v>
      </c>
      <c r="I393" s="5" t="str">
        <f>'Blk 1'!E423</f>
        <v>E</v>
      </c>
      <c r="J393" s="5" t="str">
        <f>Future!E423</f>
        <v>E</v>
      </c>
      <c r="L393" s="5">
        <f>'Blk 1'!F423</f>
        <v>0</v>
      </c>
      <c r="M393">
        <f>Future!F423</f>
        <v>0</v>
      </c>
    </row>
    <row r="394" spans="1:13">
      <c r="A394" s="9">
        <v>4.3319999999999999</v>
      </c>
      <c r="B394" t="s">
        <v>312</v>
      </c>
      <c r="F394" s="5">
        <f>'Blk 1'!D424</f>
        <v>77</v>
      </c>
      <c r="G394" s="5">
        <f>Future!D424</f>
        <v>79.3</v>
      </c>
      <c r="I394" s="5" t="str">
        <f>'Blk 1'!E424</f>
        <v>E</v>
      </c>
      <c r="J394" s="5" t="str">
        <f>Future!E424</f>
        <v>E</v>
      </c>
      <c r="L394" s="5">
        <f>'Blk 1'!F424</f>
        <v>0</v>
      </c>
      <c r="M394">
        <f>Future!F424</f>
        <v>0</v>
      </c>
    </row>
    <row r="395" spans="1:13">
      <c r="A395" s="9">
        <v>4.3339999999999996</v>
      </c>
      <c r="B395" t="s">
        <v>313</v>
      </c>
      <c r="F395" s="5">
        <f>'Blk 1'!D425</f>
        <v>19</v>
      </c>
      <c r="G395" s="5">
        <f>Future!D425</f>
        <v>19</v>
      </c>
      <c r="I395" s="5" t="str">
        <f>'Blk 1'!E425</f>
        <v>E</v>
      </c>
      <c r="J395" s="5" t="str">
        <f>Future!E425</f>
        <v>E</v>
      </c>
      <c r="L395" s="5">
        <f>'Blk 1'!F425</f>
        <v>0</v>
      </c>
      <c r="M395">
        <f>Future!F425</f>
        <v>0</v>
      </c>
    </row>
    <row r="396" spans="1:13">
      <c r="A396" s="8">
        <v>4.34</v>
      </c>
      <c r="B396" t="s">
        <v>324</v>
      </c>
      <c r="F396" s="5">
        <f>'Blk 1'!D426</f>
        <v>27.2</v>
      </c>
      <c r="G396" s="5">
        <f>Future!D426</f>
        <v>27.2</v>
      </c>
      <c r="I396" s="5" t="str">
        <f>'Blk 1'!E426</f>
        <v>E</v>
      </c>
      <c r="J396" s="5" t="str">
        <f>Future!E426</f>
        <v>E</v>
      </c>
      <c r="L396" s="5">
        <f>'Blk 1'!F426</f>
        <v>0</v>
      </c>
      <c r="M396">
        <f>Future!F426</f>
        <v>0</v>
      </c>
    </row>
    <row r="397" spans="1:13">
      <c r="A397" s="9">
        <v>4.3410000000000002</v>
      </c>
      <c r="B397" t="s">
        <v>314</v>
      </c>
      <c r="F397" s="5">
        <f>'Blk 1'!D427</f>
        <v>18.100000000000001</v>
      </c>
      <c r="G397" s="5">
        <f>Future!D427</f>
        <v>18.100000000000001</v>
      </c>
      <c r="I397" s="5" t="str">
        <f>'Blk 1'!E427</f>
        <v>E</v>
      </c>
      <c r="J397" s="5" t="str">
        <f>Future!E427</f>
        <v>E</v>
      </c>
      <c r="L397" s="5">
        <f>'Blk 1'!F427</f>
        <v>0</v>
      </c>
      <c r="M397">
        <f>Future!F427</f>
        <v>0</v>
      </c>
    </row>
    <row r="398" spans="1:13">
      <c r="A398" s="9">
        <v>4.3419999999999996</v>
      </c>
      <c r="B398" t="s">
        <v>315</v>
      </c>
      <c r="F398" s="5">
        <f>'Blk 1'!D428</f>
        <v>9.1</v>
      </c>
      <c r="G398" s="5">
        <f>Future!D428</f>
        <v>9.1</v>
      </c>
      <c r="I398" s="5" t="str">
        <f>'Blk 1'!E428</f>
        <v>E</v>
      </c>
      <c r="J398" s="5" t="str">
        <f>Future!E428</f>
        <v>E</v>
      </c>
      <c r="L398" s="5">
        <f>'Blk 1'!F428</f>
        <v>0</v>
      </c>
      <c r="M398">
        <f>Future!F428</f>
        <v>0</v>
      </c>
    </row>
    <row r="399" spans="1:13">
      <c r="A399" s="8">
        <v>4.3499999999999996</v>
      </c>
      <c r="B399" t="s">
        <v>316</v>
      </c>
      <c r="F399" s="5">
        <f>'Blk 1'!D429</f>
        <v>37.9</v>
      </c>
      <c r="G399" s="5">
        <f>Future!D429</f>
        <v>37.9</v>
      </c>
      <c r="I399" s="5" t="str">
        <f>'Blk 1'!E429</f>
        <v>E</v>
      </c>
      <c r="J399" s="5" t="str">
        <f>Future!E429</f>
        <v>E</v>
      </c>
      <c r="L399" s="5">
        <f>'Blk 1'!F429</f>
        <v>0</v>
      </c>
      <c r="M399">
        <f>Future!F429</f>
        <v>0</v>
      </c>
    </row>
    <row r="400" spans="1:13">
      <c r="A400" s="8">
        <v>4.3600000000000003</v>
      </c>
      <c r="B400" t="s">
        <v>317</v>
      </c>
      <c r="F400" s="5">
        <f>'Blk 1'!D430</f>
        <v>129.80000000000001</v>
      </c>
      <c r="G400" s="5">
        <f>Future!D430</f>
        <v>129.80000000000001</v>
      </c>
      <c r="I400" s="5" t="str">
        <f>'Blk 1'!E430</f>
        <v>D</v>
      </c>
      <c r="J400" s="5" t="str">
        <f>Future!E430</f>
        <v>D</v>
      </c>
      <c r="L400" s="5">
        <f>'Blk 1'!F430</f>
        <v>0</v>
      </c>
      <c r="M400">
        <f>Future!F430</f>
        <v>0</v>
      </c>
    </row>
    <row r="401" spans="1:10">
      <c r="A401" s="1"/>
      <c r="F401" s="5">
        <f>'Blk 1'!D431</f>
        <v>251.1</v>
      </c>
      <c r="G401" s="5">
        <f>Future!D431</f>
        <v>251.1</v>
      </c>
      <c r="I401" s="5" t="str">
        <f>'Blk 1'!E431</f>
        <v>E</v>
      </c>
      <c r="J401" s="5" t="str">
        <f>Future!E431</f>
        <v>E</v>
      </c>
    </row>
    <row r="402" spans="1:10">
      <c r="A402" s="3"/>
    </row>
    <row r="403" spans="1:10">
      <c r="A403" s="1" t="s">
        <v>0</v>
      </c>
    </row>
    <row r="404" spans="1:10">
      <c r="A404" s="1" t="s">
        <v>1</v>
      </c>
    </row>
    <row r="405" spans="1:10">
      <c r="A405" s="2"/>
    </row>
    <row r="406" spans="1:10">
      <c r="A406" s="1" t="s">
        <v>23</v>
      </c>
      <c r="B406" t="s">
        <v>24</v>
      </c>
      <c r="F406" t="s">
        <v>25</v>
      </c>
      <c r="G406" t="s">
        <v>25</v>
      </c>
    </row>
    <row r="407" spans="1:10">
      <c r="A407" s="1">
        <v>1.3813</v>
      </c>
      <c r="B407" t="s">
        <v>85</v>
      </c>
      <c r="F407">
        <f>'Blk 1'!C455</f>
        <v>212.6</v>
      </c>
      <c r="G407">
        <f>Future!D455</f>
        <v>0</v>
      </c>
    </row>
    <row r="408" spans="1:10">
      <c r="A408" s="1">
        <v>3.9110100000000001</v>
      </c>
      <c r="B408" t="s">
        <v>282</v>
      </c>
      <c r="F408">
        <f>'Blk 1'!C456</f>
        <v>1689</v>
      </c>
      <c r="G408">
        <f>Future!D456</f>
        <v>0</v>
      </c>
    </row>
    <row r="409" spans="1:10">
      <c r="A409" s="1">
        <v>3.9110399999999998</v>
      </c>
      <c r="B409" t="s">
        <v>283</v>
      </c>
      <c r="F409">
        <f>'Blk 1'!C457</f>
        <v>466.2</v>
      </c>
      <c r="G409">
        <f>Future!D457</f>
        <v>0</v>
      </c>
    </row>
    <row r="410" spans="1:10">
      <c r="A410" s="1">
        <v>3.9140000000000001</v>
      </c>
      <c r="B410" t="s">
        <v>284</v>
      </c>
      <c r="F410">
        <f>'Blk 1'!C458</f>
        <v>0</v>
      </c>
      <c r="G410">
        <f>Future!D458</f>
        <v>0</v>
      </c>
    </row>
    <row r="411" spans="1:10">
      <c r="A411" s="1">
        <v>3.92</v>
      </c>
      <c r="B411" t="s">
        <v>285</v>
      </c>
      <c r="F411">
        <f>'Blk 1'!C459</f>
        <v>60.2</v>
      </c>
      <c r="G411">
        <f>Future!D459</f>
        <v>0</v>
      </c>
    </row>
    <row r="412" spans="1:10">
      <c r="A412" s="1">
        <v>3.93</v>
      </c>
      <c r="B412" t="s">
        <v>286</v>
      </c>
      <c r="F412">
        <f>'Blk 1'!C460</f>
        <v>330.3</v>
      </c>
      <c r="G412">
        <f>Future!D460</f>
        <v>0</v>
      </c>
    </row>
    <row r="413" spans="1:10">
      <c r="A413" s="31"/>
      <c r="B413" s="27" t="s">
        <v>325</v>
      </c>
      <c r="F413" s="27">
        <f>'Blk 1'!C461</f>
        <v>0</v>
      </c>
      <c r="G413" s="27">
        <f>Future!D461</f>
        <v>0</v>
      </c>
    </row>
    <row r="414" spans="1:10">
      <c r="A414" s="1"/>
      <c r="B414" t="s">
        <v>326</v>
      </c>
      <c r="F414">
        <f>'Blk 1'!C462</f>
        <v>2758.2999999999997</v>
      </c>
      <c r="G414">
        <f>Future!D462</f>
        <v>0</v>
      </c>
    </row>
    <row r="415" spans="1:10">
      <c r="A415" s="2"/>
    </row>
    <row r="416" spans="1:10">
      <c r="A416" s="1" t="s">
        <v>2</v>
      </c>
    </row>
    <row r="417" spans="1:7">
      <c r="A417" s="1" t="s">
        <v>3</v>
      </c>
    </row>
    <row r="418" spans="1:7">
      <c r="A418" s="1" t="s">
        <v>4</v>
      </c>
    </row>
    <row r="419" spans="1:7">
      <c r="A419" s="2"/>
    </row>
    <row r="420" spans="1:7">
      <c r="A420" s="1" t="s">
        <v>5</v>
      </c>
    </row>
    <row r="421" spans="1:7">
      <c r="A421" s="1" t="s">
        <v>6</v>
      </c>
    </row>
    <row r="422" spans="1:7">
      <c r="A422" s="1" t="s">
        <v>7</v>
      </c>
    </row>
    <row r="423" spans="1:7">
      <c r="A423" s="2"/>
    </row>
    <row r="424" spans="1:7">
      <c r="A424" s="1" t="s">
        <v>23</v>
      </c>
      <c r="B424" t="s">
        <v>24</v>
      </c>
      <c r="F424" t="s">
        <v>25</v>
      </c>
      <c r="G424" t="s">
        <v>25</v>
      </c>
    </row>
    <row r="425" spans="1:7">
      <c r="A425" s="1">
        <v>1.3813</v>
      </c>
      <c r="B425" t="s">
        <v>85</v>
      </c>
      <c r="F425" s="5">
        <f>'Blk 1'!C455</f>
        <v>212.6</v>
      </c>
      <c r="G425" s="5">
        <f>Future!D455</f>
        <v>0</v>
      </c>
    </row>
    <row r="426" spans="1:7">
      <c r="A426" s="1">
        <v>3.9110100000000001</v>
      </c>
      <c r="B426" t="s">
        <v>282</v>
      </c>
      <c r="F426" s="5">
        <f>'Blk 1'!C456</f>
        <v>1689</v>
      </c>
      <c r="G426" s="5">
        <f>Future!D456</f>
        <v>0</v>
      </c>
    </row>
    <row r="427" spans="1:7">
      <c r="A427" s="1">
        <v>3.9110399999999998</v>
      </c>
      <c r="B427" t="s">
        <v>283</v>
      </c>
      <c r="F427" s="5">
        <f>'Blk 1'!C457</f>
        <v>466.2</v>
      </c>
      <c r="G427" s="5">
        <f>Future!D457</f>
        <v>0</v>
      </c>
    </row>
    <row r="428" spans="1:7">
      <c r="A428" s="1">
        <v>3.9140000000000001</v>
      </c>
      <c r="B428" t="s">
        <v>284</v>
      </c>
      <c r="F428" s="5"/>
      <c r="G428" s="5"/>
    </row>
    <row r="429" spans="1:7">
      <c r="A429" s="1">
        <v>3.93</v>
      </c>
      <c r="B429" t="s">
        <v>286</v>
      </c>
      <c r="F429" s="5">
        <f>'Blk 1'!C459</f>
        <v>60.2</v>
      </c>
      <c r="G429" s="5">
        <f>Future!D459</f>
        <v>0</v>
      </c>
    </row>
    <row r="430" spans="1:7">
      <c r="A430" s="1">
        <v>3.95</v>
      </c>
      <c r="B430" t="s">
        <v>290</v>
      </c>
      <c r="F430" s="5">
        <f>'Blk 1'!C460</f>
        <v>330.3</v>
      </c>
      <c r="G430" s="5">
        <f>Future!D460</f>
        <v>0</v>
      </c>
    </row>
    <row r="431" spans="1:7">
      <c r="A431" s="31"/>
      <c r="B431" s="27" t="s">
        <v>327</v>
      </c>
      <c r="C431" s="27"/>
      <c r="D431" s="27"/>
      <c r="E431" s="27"/>
      <c r="F431" s="37"/>
      <c r="G431" s="37"/>
    </row>
    <row r="432" spans="1:7">
      <c r="A432" s="1"/>
      <c r="B432" t="s">
        <v>328</v>
      </c>
      <c r="F432" s="5">
        <f>'Blk 1'!C462</f>
        <v>2758.2999999999997</v>
      </c>
      <c r="G432" s="5">
        <f>Future!D462</f>
        <v>0</v>
      </c>
    </row>
    <row r="433" spans="1:1">
      <c r="A433" s="2"/>
    </row>
    <row r="434" spans="1:1">
      <c r="A434" s="1" t="s">
        <v>8</v>
      </c>
    </row>
    <row r="435" spans="1:1">
      <c r="A435" s="1" t="s">
        <v>9</v>
      </c>
    </row>
    <row r="436" spans="1:1">
      <c r="A43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467"/>
  <sheetViews>
    <sheetView topLeftCell="A448" workbookViewId="0">
      <selection activeCell="H456" sqref="H456:H467"/>
    </sheetView>
  </sheetViews>
  <sheetFormatPr defaultRowHeight="14.5"/>
  <cols>
    <col min="1" max="1" width="18.7265625" style="4" customWidth="1"/>
    <col min="2" max="2" width="34.54296875" bestFit="1" customWidth="1"/>
    <col min="3" max="3" width="11.26953125" bestFit="1" customWidth="1"/>
    <col min="4" max="4" width="20.1796875" bestFit="1" customWidth="1"/>
    <col min="5" max="5" width="12" style="5" bestFit="1" customWidth="1"/>
    <col min="6" max="6" width="7.36328125" style="5" bestFit="1" customWidth="1"/>
    <col min="7" max="7" width="8.7265625" style="5"/>
  </cols>
  <sheetData>
    <row r="1" spans="1:7">
      <c r="C1" s="6" t="s">
        <v>333</v>
      </c>
      <c r="F1" s="45"/>
      <c r="G1" s="45"/>
    </row>
    <row r="2" spans="1:7" s="38" customFormat="1" ht="15.5">
      <c r="A2" s="38" t="s">
        <v>344</v>
      </c>
      <c r="B2" s="38" t="s">
        <v>345</v>
      </c>
      <c r="C2" s="39">
        <v>14236.7</v>
      </c>
      <c r="F2" s="46"/>
      <c r="G2" s="46"/>
    </row>
    <row r="3" spans="1:7" s="38" customFormat="1" ht="15.5">
      <c r="A3" s="38" t="s">
        <v>347</v>
      </c>
      <c r="B3" s="38" t="s">
        <v>348</v>
      </c>
      <c r="C3" s="40">
        <v>186.88</v>
      </c>
      <c r="F3" s="47"/>
      <c r="G3" s="46"/>
    </row>
    <row r="4" spans="1:7" s="38" customFormat="1" ht="15.5">
      <c r="A4" s="38" t="s">
        <v>349</v>
      </c>
      <c r="B4" s="38" t="s">
        <v>350</v>
      </c>
      <c r="C4" s="39">
        <v>171.66</v>
      </c>
      <c r="F4" s="46"/>
      <c r="G4" s="46"/>
    </row>
    <row r="5" spans="1:7" s="38" customFormat="1" ht="15.5">
      <c r="A5" s="38" t="s">
        <v>351</v>
      </c>
      <c r="B5" s="38" t="s">
        <v>352</v>
      </c>
      <c r="C5" s="39">
        <v>21.3</v>
      </c>
      <c r="F5" s="46"/>
      <c r="G5" s="46"/>
    </row>
    <row r="6" spans="1:7" s="38" customFormat="1" ht="15.5">
      <c r="A6" s="38" t="s">
        <v>29</v>
      </c>
      <c r="B6" s="38" t="s">
        <v>353</v>
      </c>
      <c r="C6" s="39">
        <v>15.06</v>
      </c>
      <c r="F6" s="46"/>
      <c r="G6" s="46"/>
    </row>
    <row r="7" spans="1:7" s="38" customFormat="1" ht="15.5">
      <c r="A7" s="38" t="s">
        <v>28</v>
      </c>
      <c r="B7" s="38" t="s">
        <v>354</v>
      </c>
      <c r="C7" s="39">
        <v>7.12</v>
      </c>
      <c r="F7" s="46"/>
      <c r="G7" s="46"/>
    </row>
    <row r="8" spans="1:7" s="38" customFormat="1" ht="15.5">
      <c r="A8" s="38" t="s">
        <v>355</v>
      </c>
      <c r="C8" s="41">
        <f>C10*C9</f>
        <v>0.50852799999999998</v>
      </c>
      <c r="F8" s="48"/>
      <c r="G8" s="46"/>
    </row>
    <row r="9" spans="1:7" s="38" customFormat="1" ht="15.5">
      <c r="A9" s="38" t="s">
        <v>356</v>
      </c>
      <c r="C9" s="39">
        <v>0.85899999999999999</v>
      </c>
      <c r="F9" s="46"/>
      <c r="G9" s="46"/>
    </row>
    <row r="10" spans="1:7" s="38" customFormat="1" ht="15.5">
      <c r="A10" s="38" t="s">
        <v>357</v>
      </c>
      <c r="C10" s="39">
        <v>0.59199999999999997</v>
      </c>
      <c r="F10" s="46"/>
      <c r="G10" s="46"/>
    </row>
    <row r="11" spans="1:7" s="38" customFormat="1" ht="15.5">
      <c r="A11" s="38" t="s">
        <v>358</v>
      </c>
      <c r="B11" s="38" t="s">
        <v>359</v>
      </c>
      <c r="C11" s="39">
        <f>(80+8.725*3)*1000</f>
        <v>106175</v>
      </c>
      <c r="F11" s="46"/>
      <c r="G11" s="46"/>
    </row>
    <row r="12" spans="1:7" s="38" customFormat="1" ht="15.5">
      <c r="A12" s="38" t="s">
        <v>361</v>
      </c>
      <c r="B12" s="38" t="s">
        <v>362</v>
      </c>
      <c r="C12" s="42">
        <v>0</v>
      </c>
      <c r="F12" s="49"/>
      <c r="G12" s="46"/>
    </row>
    <row r="13" spans="1:7" s="38" customFormat="1" ht="15.5">
      <c r="A13" s="38" t="s">
        <v>363</v>
      </c>
      <c r="B13" s="38" t="s">
        <v>364</v>
      </c>
      <c r="C13" s="43">
        <v>390</v>
      </c>
      <c r="F13" s="50"/>
      <c r="G13" s="46"/>
    </row>
    <row r="14" spans="1:7" s="38" customFormat="1" ht="15.5">
      <c r="A14" s="38" t="s">
        <v>365</v>
      </c>
      <c r="B14" s="38" t="s">
        <v>366</v>
      </c>
      <c r="C14" s="44">
        <v>31.21</v>
      </c>
      <c r="F14" s="51"/>
      <c r="G14" s="46"/>
    </row>
    <row r="15" spans="1:7">
      <c r="A15" s="23"/>
      <c r="B15" s="6"/>
      <c r="E15"/>
      <c r="F15"/>
      <c r="G15"/>
    </row>
    <row r="16" spans="1:7">
      <c r="B16" s="1" t="s">
        <v>10</v>
      </c>
      <c r="C16" s="6">
        <v>14236.7</v>
      </c>
    </row>
    <row r="17" spans="2:3">
      <c r="B17" s="1" t="s">
        <v>11</v>
      </c>
      <c r="C17" s="6">
        <v>390</v>
      </c>
    </row>
    <row r="18" spans="2:3">
      <c r="B18" s="1" t="s">
        <v>13</v>
      </c>
      <c r="C18" s="6">
        <v>3.14</v>
      </c>
    </row>
    <row r="19" spans="2:3">
      <c r="B19" s="1" t="s">
        <v>14</v>
      </c>
      <c r="C19" s="6">
        <v>10563</v>
      </c>
    </row>
    <row r="20" spans="2:3">
      <c r="B20" s="1" t="s">
        <v>16</v>
      </c>
      <c r="C20" s="6">
        <v>2571</v>
      </c>
    </row>
    <row r="21" spans="2:3">
      <c r="B21" s="1" t="s">
        <v>18</v>
      </c>
      <c r="C21" s="6">
        <v>0</v>
      </c>
    </row>
    <row r="22" spans="2:3">
      <c r="B22" t="s">
        <v>12</v>
      </c>
      <c r="C22" s="6">
        <v>0</v>
      </c>
    </row>
    <row r="23" spans="2:3">
      <c r="B23" t="s">
        <v>15</v>
      </c>
      <c r="C23" s="6">
        <v>0.1</v>
      </c>
    </row>
    <row r="24" spans="2:3">
      <c r="B24" t="s">
        <v>17</v>
      </c>
      <c r="C24" s="6">
        <v>0</v>
      </c>
    </row>
    <row r="25" spans="2:3">
      <c r="B25" s="2"/>
      <c r="C25" s="6"/>
    </row>
    <row r="26" spans="2:3">
      <c r="B26" s="4" t="s">
        <v>336</v>
      </c>
      <c r="C26" s="6"/>
    </row>
    <row r="27" spans="2:3">
      <c r="B27" s="1"/>
      <c r="C27" s="6"/>
    </row>
    <row r="28" spans="2:3">
      <c r="B28" s="7" t="s">
        <v>21</v>
      </c>
      <c r="C28" s="6">
        <v>0</v>
      </c>
    </row>
    <row r="29" spans="2:3">
      <c r="B29" s="7" t="s">
        <v>22</v>
      </c>
      <c r="C29" s="25">
        <v>0</v>
      </c>
    </row>
    <row r="30" spans="2:3">
      <c r="B30" s="7" t="s">
        <v>20</v>
      </c>
      <c r="C30" s="6">
        <v>0</v>
      </c>
    </row>
    <row r="31" spans="2:3">
      <c r="B31" s="2"/>
      <c r="C31" s="6"/>
    </row>
    <row r="32" spans="2:3">
      <c r="B32" s="4" t="s">
        <v>335</v>
      </c>
      <c r="C32" s="6"/>
    </row>
    <row r="33" spans="1:4">
      <c r="A33" s="5"/>
      <c r="B33" s="7" t="s">
        <v>21</v>
      </c>
      <c r="C33" s="6">
        <v>1249</v>
      </c>
    </row>
    <row r="34" spans="1:4">
      <c r="A34" s="5"/>
      <c r="B34" s="7" t="s">
        <v>22</v>
      </c>
      <c r="C34" s="25">
        <v>4820</v>
      </c>
    </row>
    <row r="35" spans="1:4">
      <c r="A35" s="5"/>
      <c r="B35" s="7" t="s">
        <v>20</v>
      </c>
      <c r="C35" s="6">
        <v>6069</v>
      </c>
    </row>
    <row r="36" spans="1:4">
      <c r="A36" s="29"/>
    </row>
    <row r="37" spans="1:4">
      <c r="A37" s="5"/>
      <c r="B37" s="1" t="s">
        <v>337</v>
      </c>
    </row>
    <row r="38" spans="1:4">
      <c r="A38" s="5"/>
      <c r="B38" s="7" t="s">
        <v>21</v>
      </c>
      <c r="C38" s="6">
        <v>3264</v>
      </c>
    </row>
    <row r="39" spans="1:4">
      <c r="A39" s="5"/>
      <c r="B39" s="7" t="s">
        <v>22</v>
      </c>
      <c r="C39" s="25">
        <v>6817</v>
      </c>
    </row>
    <row r="40" spans="1:4">
      <c r="A40" s="5"/>
      <c r="B40" s="7" t="s">
        <v>20</v>
      </c>
      <c r="C40" s="6">
        <v>10081</v>
      </c>
    </row>
    <row r="41" spans="1:4">
      <c r="A41" s="5"/>
      <c r="B41" s="2"/>
    </row>
    <row r="42" spans="1:4">
      <c r="A42" s="5"/>
      <c r="B42" s="4" t="s">
        <v>338</v>
      </c>
    </row>
    <row r="43" spans="1:4">
      <c r="A43" s="5"/>
      <c r="B43" s="7" t="s">
        <v>21</v>
      </c>
      <c r="C43" s="6">
        <v>11600</v>
      </c>
    </row>
    <row r="44" spans="1:4">
      <c r="A44" s="5"/>
      <c r="B44" s="7" t="s">
        <v>22</v>
      </c>
      <c r="C44" s="25">
        <v>34570</v>
      </c>
    </row>
    <row r="45" spans="1:4">
      <c r="A45" s="5"/>
      <c r="B45" s="7" t="s">
        <v>20</v>
      </c>
      <c r="C45" s="6">
        <v>46170</v>
      </c>
    </row>
    <row r="46" spans="1:4">
      <c r="A46" s="29"/>
    </row>
    <row r="47" spans="1:4">
      <c r="A47" s="5" t="s">
        <v>339</v>
      </c>
      <c r="C47" s="5"/>
      <c r="D47" s="5"/>
    </row>
    <row r="48" spans="1:4">
      <c r="A48" s="28" t="s">
        <v>23</v>
      </c>
      <c r="B48" s="1" t="s">
        <v>24</v>
      </c>
      <c r="C48" s="5"/>
      <c r="D48" s="5"/>
    </row>
    <row r="49" spans="1:4">
      <c r="A49" s="28">
        <v>1</v>
      </c>
      <c r="B49" t="s">
        <v>27</v>
      </c>
      <c r="C49">
        <v>379</v>
      </c>
      <c r="D49" s="5"/>
    </row>
    <row r="50" spans="1:4">
      <c r="A50" s="28">
        <v>2</v>
      </c>
      <c r="B50" t="s">
        <v>107</v>
      </c>
      <c r="C50">
        <v>2102</v>
      </c>
    </row>
    <row r="51" spans="1:4">
      <c r="A51" s="28">
        <v>3</v>
      </c>
      <c r="B51" t="s">
        <v>293</v>
      </c>
      <c r="C51">
        <v>2842</v>
      </c>
    </row>
    <row r="52" spans="1:4">
      <c r="A52" s="28">
        <v>4</v>
      </c>
      <c r="B52" t="s">
        <v>341</v>
      </c>
      <c r="C52">
        <v>195</v>
      </c>
    </row>
    <row r="53" spans="1:4">
      <c r="A53" s="28">
        <v>5</v>
      </c>
      <c r="B53" t="s">
        <v>342</v>
      </c>
      <c r="C53" s="27">
        <v>551.70000000000005</v>
      </c>
    </row>
    <row r="54" spans="1:4">
      <c r="A54" s="28" t="s">
        <v>20</v>
      </c>
      <c r="C54">
        <v>6069</v>
      </c>
    </row>
    <row r="55" spans="1:4">
      <c r="A55" s="5"/>
    </row>
    <row r="56" spans="1:4">
      <c r="A56" s="5" t="s">
        <v>340</v>
      </c>
    </row>
    <row r="57" spans="1:4">
      <c r="A57" s="28" t="s">
        <v>23</v>
      </c>
      <c r="B57" t="s">
        <v>24</v>
      </c>
      <c r="D57" s="6"/>
    </row>
    <row r="58" spans="1:4">
      <c r="A58" s="28">
        <v>1</v>
      </c>
      <c r="B58" t="s">
        <v>27</v>
      </c>
      <c r="C58">
        <v>92</v>
      </c>
      <c r="D58" s="6"/>
    </row>
    <row r="59" spans="1:4">
      <c r="A59" s="28">
        <v>2</v>
      </c>
      <c r="B59" t="s">
        <v>107</v>
      </c>
      <c r="C59">
        <v>51</v>
      </c>
      <c r="D59" s="6"/>
    </row>
    <row r="60" spans="1:4">
      <c r="A60" s="28">
        <v>3</v>
      </c>
      <c r="B60" t="s">
        <v>293</v>
      </c>
      <c r="C60">
        <v>479</v>
      </c>
      <c r="D60" s="6"/>
    </row>
    <row r="61" spans="1:4">
      <c r="A61" s="28">
        <v>4</v>
      </c>
      <c r="B61" t="s">
        <v>341</v>
      </c>
      <c r="C61">
        <v>512</v>
      </c>
      <c r="D61" s="6"/>
    </row>
    <row r="62" spans="1:4">
      <c r="A62" s="28">
        <v>5</v>
      </c>
      <c r="B62" t="s">
        <v>342</v>
      </c>
      <c r="C62" s="27">
        <v>113.5</v>
      </c>
      <c r="D62" s="6"/>
    </row>
    <row r="63" spans="1:4">
      <c r="A63" s="28" t="s">
        <v>20</v>
      </c>
      <c r="C63">
        <v>1249</v>
      </c>
      <c r="D63" s="6"/>
    </row>
    <row r="64" spans="1:4">
      <c r="A64" s="30"/>
      <c r="D64" s="6"/>
    </row>
    <row r="65" spans="1:8">
      <c r="A65" s="5" t="s">
        <v>343</v>
      </c>
      <c r="D65" s="6"/>
    </row>
    <row r="66" spans="1:8">
      <c r="A66" s="28" t="s">
        <v>23</v>
      </c>
      <c r="B66" t="s">
        <v>24</v>
      </c>
      <c r="D66" s="6"/>
    </row>
    <row r="67" spans="1:8">
      <c r="A67" s="28">
        <v>1</v>
      </c>
      <c r="B67" t="s">
        <v>27</v>
      </c>
      <c r="C67" s="6">
        <v>6.2</v>
      </c>
      <c r="D67" s="6"/>
    </row>
    <row r="68" spans="1:8">
      <c r="A68" s="28">
        <v>2</v>
      </c>
      <c r="B68" t="s">
        <v>107</v>
      </c>
      <c r="C68" s="6">
        <v>34.6</v>
      </c>
      <c r="D68" s="6"/>
    </row>
    <row r="69" spans="1:8">
      <c r="A69" s="28">
        <v>3</v>
      </c>
      <c r="B69" t="s">
        <v>293</v>
      </c>
      <c r="C69" s="6">
        <v>46.8</v>
      </c>
      <c r="D69" s="6"/>
    </row>
    <row r="70" spans="1:8">
      <c r="A70" s="28">
        <v>4</v>
      </c>
      <c r="B70" t="s">
        <v>341</v>
      </c>
      <c r="C70" s="6">
        <v>3.2</v>
      </c>
      <c r="D70" s="6"/>
    </row>
    <row r="71" spans="1:8">
      <c r="A71" s="28">
        <v>5</v>
      </c>
      <c r="B71" t="s">
        <v>342</v>
      </c>
      <c r="C71" s="25">
        <v>9.1</v>
      </c>
      <c r="D71" s="6"/>
    </row>
    <row r="72" spans="1:8">
      <c r="A72" s="28" t="s">
        <v>20</v>
      </c>
      <c r="C72" s="6">
        <v>100</v>
      </c>
      <c r="D72" s="6"/>
    </row>
    <row r="73" spans="1:8">
      <c r="A73" s="1"/>
      <c r="D73" s="6"/>
      <c r="H73" s="416"/>
    </row>
    <row r="74" spans="1:8">
      <c r="A74" s="1" t="s">
        <v>23</v>
      </c>
      <c r="B74" t="s">
        <v>24</v>
      </c>
      <c r="C74" t="s">
        <v>25</v>
      </c>
      <c r="D74" s="5" t="s">
        <v>19</v>
      </c>
      <c r="E74" s="5" t="s">
        <v>235</v>
      </c>
      <c r="F74" s="5" t="s">
        <v>26</v>
      </c>
      <c r="H74" s="416"/>
    </row>
    <row r="75" spans="1:8">
      <c r="A75" s="1">
        <v>1</v>
      </c>
      <c r="B75" t="s">
        <v>27</v>
      </c>
      <c r="C75">
        <v>212.6</v>
      </c>
      <c r="D75" s="5">
        <v>1414.7</v>
      </c>
      <c r="E75" s="5" t="s">
        <v>28</v>
      </c>
      <c r="F75" s="5">
        <v>0</v>
      </c>
      <c r="H75" s="416"/>
    </row>
    <row r="76" spans="1:8">
      <c r="A76" s="1"/>
      <c r="D76" s="5">
        <v>92.5</v>
      </c>
      <c r="E76" s="5" t="s">
        <v>29</v>
      </c>
      <c r="H76" s="416"/>
    </row>
    <row r="77" spans="1:8">
      <c r="A77" s="1"/>
      <c r="D77" s="5">
        <v>1322.3</v>
      </c>
      <c r="E77" s="5" t="s">
        <v>30</v>
      </c>
      <c r="H77" s="416"/>
    </row>
    <row r="78" spans="1:8">
      <c r="A78" s="7">
        <v>1.1000000000000001</v>
      </c>
      <c r="B78" t="s">
        <v>31</v>
      </c>
      <c r="D78" s="5">
        <v>73.900000000000006</v>
      </c>
      <c r="E78" s="5" t="s">
        <v>29</v>
      </c>
      <c r="F78" s="5">
        <v>0</v>
      </c>
      <c r="H78" s="416"/>
    </row>
    <row r="79" spans="1:8">
      <c r="A79" s="1"/>
      <c r="D79" s="5">
        <v>105.8</v>
      </c>
      <c r="E79" s="5" t="s">
        <v>30</v>
      </c>
      <c r="H79" s="416"/>
    </row>
    <row r="80" spans="1:8">
      <c r="A80" s="8">
        <v>1.1100000000000001</v>
      </c>
      <c r="B80" t="s">
        <v>32</v>
      </c>
      <c r="D80" s="5">
        <v>5.9</v>
      </c>
      <c r="E80" s="5" t="s">
        <v>29</v>
      </c>
      <c r="F80" s="5">
        <v>0</v>
      </c>
      <c r="H80" s="416"/>
    </row>
    <row r="81" spans="1:8">
      <c r="A81" s="9">
        <v>1.111</v>
      </c>
      <c r="B81" t="s">
        <v>33</v>
      </c>
      <c r="D81" s="5"/>
      <c r="E81" s="5" t="s">
        <v>30</v>
      </c>
      <c r="F81" s="5">
        <v>0</v>
      </c>
      <c r="H81" s="416"/>
    </row>
    <row r="82" spans="1:8">
      <c r="A82" s="9">
        <v>1.1120000000000001</v>
      </c>
      <c r="B82" t="s">
        <v>34</v>
      </c>
      <c r="D82" s="5"/>
      <c r="E82" s="5" t="s">
        <v>30</v>
      </c>
      <c r="F82" s="5">
        <v>0</v>
      </c>
      <c r="H82" s="416"/>
    </row>
    <row r="83" spans="1:8">
      <c r="A83" s="9">
        <v>1.113</v>
      </c>
      <c r="B83" t="s">
        <v>35</v>
      </c>
      <c r="D83" s="5">
        <v>5.9</v>
      </c>
      <c r="E83" s="5" t="s">
        <v>29</v>
      </c>
      <c r="F83" s="5">
        <v>0</v>
      </c>
      <c r="H83" s="416"/>
    </row>
    <row r="84" spans="1:8">
      <c r="A84" s="8">
        <v>1.1200000000000001</v>
      </c>
      <c r="B84" t="s">
        <v>36</v>
      </c>
      <c r="D84" s="5"/>
      <c r="E84" s="5" t="s">
        <v>30</v>
      </c>
      <c r="F84" s="5">
        <v>0</v>
      </c>
      <c r="H84" s="416"/>
    </row>
    <row r="85" spans="1:8">
      <c r="A85" s="9">
        <v>1.121</v>
      </c>
      <c r="B85" t="s">
        <v>37</v>
      </c>
      <c r="D85" s="5"/>
      <c r="E85" s="5" t="s">
        <v>30</v>
      </c>
      <c r="F85" s="5">
        <v>0</v>
      </c>
      <c r="H85" s="416"/>
    </row>
    <row r="86" spans="1:8">
      <c r="A86" s="9">
        <v>1.1220000000000001</v>
      </c>
      <c r="B86" t="s">
        <v>38</v>
      </c>
      <c r="D86" s="5"/>
      <c r="E86" s="5" t="s">
        <v>30</v>
      </c>
      <c r="F86" s="5">
        <v>0</v>
      </c>
      <c r="H86" s="416"/>
    </row>
    <row r="87" spans="1:8">
      <c r="A87" s="8">
        <v>1.1299999999999999</v>
      </c>
      <c r="B87" t="s">
        <v>39</v>
      </c>
      <c r="D87" s="5">
        <v>67.900000000000006</v>
      </c>
      <c r="E87" s="5" t="s">
        <v>29</v>
      </c>
      <c r="F87" s="5">
        <v>0</v>
      </c>
      <c r="H87" s="416"/>
    </row>
    <row r="88" spans="1:8">
      <c r="A88" s="9">
        <v>1.131</v>
      </c>
      <c r="B88" t="s">
        <v>40</v>
      </c>
      <c r="D88" s="5"/>
      <c r="E88" s="5" t="s">
        <v>30</v>
      </c>
      <c r="F88" s="5">
        <v>0</v>
      </c>
      <c r="H88" s="416"/>
    </row>
    <row r="89" spans="1:8">
      <c r="A89" s="9">
        <v>1.1319999999999999</v>
      </c>
      <c r="B89" t="s">
        <v>41</v>
      </c>
      <c r="D89" s="5">
        <v>67.900000000000006</v>
      </c>
      <c r="E89" s="5" t="s">
        <v>29</v>
      </c>
      <c r="F89" s="5">
        <v>0</v>
      </c>
      <c r="H89" s="416"/>
    </row>
    <row r="90" spans="1:8">
      <c r="A90" s="10">
        <v>1.1321000000000001</v>
      </c>
      <c r="B90" t="s">
        <v>101</v>
      </c>
      <c r="D90" s="5">
        <v>60.9</v>
      </c>
      <c r="E90" s="5" t="s">
        <v>29</v>
      </c>
      <c r="F90" s="5">
        <v>0</v>
      </c>
      <c r="H90" s="416"/>
    </row>
    <row r="91" spans="1:8">
      <c r="A91" s="10">
        <v>1.1322000000000001</v>
      </c>
      <c r="B91" t="s">
        <v>102</v>
      </c>
      <c r="D91" s="5">
        <v>7</v>
      </c>
      <c r="E91" s="5" t="s">
        <v>29</v>
      </c>
      <c r="F91" s="5">
        <v>0</v>
      </c>
      <c r="H91" s="416"/>
    </row>
    <row r="92" spans="1:8">
      <c r="A92" s="9">
        <v>1.133</v>
      </c>
      <c r="B92" t="s">
        <v>42</v>
      </c>
      <c r="D92" s="5"/>
      <c r="E92" s="5" t="s">
        <v>30</v>
      </c>
      <c r="F92" s="5">
        <v>0</v>
      </c>
      <c r="H92" s="416"/>
    </row>
    <row r="93" spans="1:8">
      <c r="A93" s="8">
        <v>1.1399999999999999</v>
      </c>
      <c r="B93" t="s">
        <v>43</v>
      </c>
      <c r="D93" s="5"/>
      <c r="E93" s="5" t="s">
        <v>30</v>
      </c>
      <c r="F93" s="5">
        <v>0</v>
      </c>
      <c r="H93" s="416"/>
    </row>
    <row r="94" spans="1:8">
      <c r="A94" s="9">
        <v>1.141</v>
      </c>
      <c r="B94" t="s">
        <v>44</v>
      </c>
      <c r="D94" s="5"/>
      <c r="E94" s="5" t="s">
        <v>30</v>
      </c>
      <c r="F94" s="5">
        <v>0</v>
      </c>
      <c r="H94" s="416"/>
    </row>
    <row r="95" spans="1:8">
      <c r="A95" s="9">
        <v>1.1419999999999999</v>
      </c>
      <c r="B95" t="s">
        <v>45</v>
      </c>
      <c r="D95" s="5"/>
      <c r="E95" s="5" t="s">
        <v>30</v>
      </c>
      <c r="F95" s="5">
        <v>0</v>
      </c>
      <c r="H95" s="416"/>
    </row>
    <row r="96" spans="1:8">
      <c r="A96" s="9">
        <v>1.143</v>
      </c>
      <c r="B96" t="s">
        <v>46</v>
      </c>
      <c r="D96" s="5"/>
      <c r="E96" s="5" t="s">
        <v>30</v>
      </c>
      <c r="F96" s="5">
        <v>0</v>
      </c>
      <c r="H96" s="416"/>
    </row>
    <row r="97" spans="1:8">
      <c r="A97" s="8">
        <v>1.1499999999999999</v>
      </c>
      <c r="B97" t="s">
        <v>47</v>
      </c>
      <c r="D97" s="5">
        <v>105.8</v>
      </c>
      <c r="E97" s="5" t="s">
        <v>30</v>
      </c>
      <c r="F97" s="5">
        <v>0</v>
      </c>
      <c r="H97" s="416"/>
    </row>
    <row r="98" spans="1:8">
      <c r="A98" s="8">
        <v>1.1599999999999999</v>
      </c>
      <c r="B98" t="s">
        <v>48</v>
      </c>
      <c r="D98" s="5"/>
      <c r="E98" s="5" t="s">
        <v>30</v>
      </c>
      <c r="F98" s="5">
        <v>0</v>
      </c>
      <c r="H98" s="416"/>
    </row>
    <row r="99" spans="1:8">
      <c r="A99" s="7">
        <v>1.2</v>
      </c>
      <c r="B99" t="s">
        <v>49</v>
      </c>
      <c r="D99" s="5"/>
      <c r="E99" s="5" t="s">
        <v>30</v>
      </c>
      <c r="F99" s="5">
        <v>0</v>
      </c>
      <c r="H99" s="416"/>
    </row>
    <row r="100" spans="1:8">
      <c r="A100" s="8">
        <v>1.21</v>
      </c>
      <c r="B100" t="s">
        <v>50</v>
      </c>
      <c r="D100" s="5"/>
      <c r="E100" s="5" t="s">
        <v>30</v>
      </c>
      <c r="F100" s="5">
        <v>0</v>
      </c>
      <c r="H100" s="416"/>
    </row>
    <row r="101" spans="1:8">
      <c r="A101" s="8">
        <v>1.22</v>
      </c>
      <c r="B101" t="s">
        <v>51</v>
      </c>
      <c r="D101" s="5"/>
      <c r="E101" s="5" t="s">
        <v>30</v>
      </c>
      <c r="F101" s="5">
        <v>0</v>
      </c>
      <c r="H101" s="416"/>
    </row>
    <row r="102" spans="1:8">
      <c r="A102" s="8">
        <v>1.23</v>
      </c>
      <c r="B102" t="s">
        <v>52</v>
      </c>
      <c r="D102" s="5"/>
      <c r="E102" s="5" t="s">
        <v>30</v>
      </c>
      <c r="F102" s="5">
        <v>0</v>
      </c>
      <c r="H102" s="416"/>
    </row>
    <row r="103" spans="1:8">
      <c r="A103" s="8">
        <v>1.24</v>
      </c>
      <c r="B103" t="s">
        <v>53</v>
      </c>
      <c r="D103" s="5"/>
      <c r="E103" s="5" t="s">
        <v>30</v>
      </c>
      <c r="F103" s="5">
        <v>0</v>
      </c>
      <c r="H103" s="416"/>
    </row>
    <row r="104" spans="1:8">
      <c r="A104" s="8">
        <v>1.25</v>
      </c>
      <c r="B104" t="s">
        <v>54</v>
      </c>
      <c r="D104" s="5"/>
      <c r="E104" s="5" t="s">
        <v>30</v>
      </c>
      <c r="F104" s="5">
        <v>0</v>
      </c>
      <c r="H104" s="416"/>
    </row>
    <row r="105" spans="1:8">
      <c r="A105" s="8">
        <v>1.26</v>
      </c>
      <c r="B105" t="s">
        <v>55</v>
      </c>
      <c r="D105" s="5"/>
      <c r="E105" s="5" t="s">
        <v>30</v>
      </c>
      <c r="F105" s="5">
        <v>0</v>
      </c>
      <c r="H105" s="416"/>
    </row>
    <row r="106" spans="1:8">
      <c r="A106" s="8">
        <v>1.27</v>
      </c>
      <c r="B106" t="s">
        <v>56</v>
      </c>
      <c r="D106" s="5"/>
      <c r="E106" s="5" t="s">
        <v>30</v>
      </c>
      <c r="F106" s="5">
        <v>0</v>
      </c>
      <c r="H106" s="416"/>
    </row>
    <row r="107" spans="1:8">
      <c r="A107" s="8">
        <v>1.28</v>
      </c>
      <c r="B107" t="s">
        <v>57</v>
      </c>
      <c r="D107" s="5"/>
      <c r="E107" s="5" t="s">
        <v>30</v>
      </c>
      <c r="F107" s="5">
        <v>0</v>
      </c>
      <c r="H107" s="416"/>
    </row>
    <row r="108" spans="1:8">
      <c r="A108" s="7">
        <v>1.3</v>
      </c>
      <c r="B108" t="s">
        <v>58</v>
      </c>
      <c r="C108">
        <v>212.6</v>
      </c>
      <c r="D108" s="5">
        <v>9.3000000000000007</v>
      </c>
      <c r="E108" s="5" t="s">
        <v>29</v>
      </c>
      <c r="F108" s="5">
        <v>0</v>
      </c>
      <c r="H108" s="416"/>
    </row>
    <row r="109" spans="1:8">
      <c r="A109" s="1"/>
      <c r="D109" s="5">
        <v>429.8</v>
      </c>
      <c r="E109" s="5" t="s">
        <v>30</v>
      </c>
      <c r="H109" s="416"/>
    </row>
    <row r="110" spans="1:8">
      <c r="A110" s="7">
        <v>1.31</v>
      </c>
      <c r="B110" t="s">
        <v>59</v>
      </c>
      <c r="D110" s="5"/>
      <c r="E110" s="5" t="s">
        <v>30</v>
      </c>
      <c r="F110" s="5">
        <v>0</v>
      </c>
      <c r="H110" s="416"/>
    </row>
    <row r="111" spans="1:8">
      <c r="A111" s="8">
        <v>1.3109999999999999</v>
      </c>
      <c r="B111" t="s">
        <v>60</v>
      </c>
      <c r="D111" s="5"/>
      <c r="E111" s="5" t="s">
        <v>30</v>
      </c>
      <c r="F111" s="5">
        <v>0</v>
      </c>
      <c r="H111" s="416"/>
    </row>
    <row r="112" spans="1:8">
      <c r="A112" s="9">
        <v>1.3111999999999999</v>
      </c>
      <c r="B112" t="s">
        <v>103</v>
      </c>
      <c r="D112" s="5"/>
      <c r="E112" s="5" t="s">
        <v>30</v>
      </c>
      <c r="F112" s="5">
        <v>0</v>
      </c>
      <c r="H112" s="416"/>
    </row>
    <row r="113" spans="1:8">
      <c r="A113" s="8">
        <v>1.3120000000000001</v>
      </c>
      <c r="B113" t="s">
        <v>61</v>
      </c>
      <c r="D113" s="5"/>
      <c r="E113" s="5" t="s">
        <v>30</v>
      </c>
      <c r="F113" s="5">
        <v>0</v>
      </c>
      <c r="H113" s="416"/>
    </row>
    <row r="114" spans="1:8">
      <c r="A114" s="9">
        <v>1.3123</v>
      </c>
      <c r="B114" t="s">
        <v>62</v>
      </c>
      <c r="D114" s="5"/>
      <c r="E114" s="5" t="s">
        <v>30</v>
      </c>
      <c r="F114" s="5">
        <v>0</v>
      </c>
      <c r="H114" s="416"/>
    </row>
    <row r="115" spans="1:8">
      <c r="A115" s="7">
        <v>1.32</v>
      </c>
      <c r="B115" t="s">
        <v>63</v>
      </c>
      <c r="D115" s="5">
        <v>9.3000000000000007</v>
      </c>
      <c r="E115" s="5" t="s">
        <v>29</v>
      </c>
      <c r="F115" s="5">
        <v>0</v>
      </c>
      <c r="H115" s="416"/>
    </row>
    <row r="116" spans="1:8">
      <c r="A116" s="8">
        <v>1.321</v>
      </c>
      <c r="B116" t="s">
        <v>64</v>
      </c>
      <c r="D116" s="5">
        <v>9.3000000000000007</v>
      </c>
      <c r="E116" s="5" t="s">
        <v>29</v>
      </c>
      <c r="F116" s="5">
        <v>0</v>
      </c>
      <c r="H116" s="416"/>
    </row>
    <row r="117" spans="1:8">
      <c r="A117" s="9">
        <v>1.3211999999999999</v>
      </c>
      <c r="B117" t="s">
        <v>65</v>
      </c>
      <c r="D117" s="5">
        <v>9.3000000000000007</v>
      </c>
      <c r="E117" s="5" t="s">
        <v>29</v>
      </c>
      <c r="F117" s="5">
        <v>0</v>
      </c>
      <c r="H117" s="416"/>
    </row>
    <row r="118" spans="1:8">
      <c r="A118" s="10">
        <v>1.3212010000000001</v>
      </c>
      <c r="B118" t="s">
        <v>104</v>
      </c>
      <c r="D118" s="5">
        <v>9.3000000000000007</v>
      </c>
      <c r="E118" s="5" t="s">
        <v>29</v>
      </c>
      <c r="F118" s="5">
        <v>1</v>
      </c>
      <c r="H118" s="416"/>
    </row>
    <row r="119" spans="1:8">
      <c r="A119" s="8">
        <v>1.3220000000000001</v>
      </c>
      <c r="B119" t="s">
        <v>66</v>
      </c>
      <c r="D119" s="5"/>
      <c r="E119" s="5" t="s">
        <v>30</v>
      </c>
      <c r="F119" s="5">
        <v>0</v>
      </c>
      <c r="H119" s="416"/>
    </row>
    <row r="120" spans="1:8">
      <c r="A120" s="8">
        <v>1.323</v>
      </c>
      <c r="B120" t="s">
        <v>67</v>
      </c>
      <c r="D120" s="5"/>
      <c r="E120" s="5" t="s">
        <v>30</v>
      </c>
      <c r="F120" s="5">
        <v>0</v>
      </c>
      <c r="H120" s="416"/>
    </row>
    <row r="121" spans="1:8">
      <c r="A121" s="7">
        <v>1.33</v>
      </c>
      <c r="B121" t="s">
        <v>68</v>
      </c>
      <c r="D121" s="5"/>
      <c r="E121" s="5" t="s">
        <v>30</v>
      </c>
      <c r="F121" s="5">
        <v>0</v>
      </c>
      <c r="H121" s="416"/>
    </row>
    <row r="122" spans="1:8">
      <c r="A122" s="8">
        <v>1.331</v>
      </c>
      <c r="B122" t="s">
        <v>69</v>
      </c>
      <c r="D122" s="5"/>
      <c r="E122" s="5" t="s">
        <v>30</v>
      </c>
      <c r="F122" s="5">
        <v>0</v>
      </c>
      <c r="H122" s="416"/>
    </row>
    <row r="123" spans="1:8">
      <c r="A123" s="8">
        <v>1.3320000000000001</v>
      </c>
      <c r="B123" t="s">
        <v>70</v>
      </c>
      <c r="D123" s="5"/>
      <c r="E123" s="5" t="s">
        <v>30</v>
      </c>
      <c r="F123" s="5">
        <v>0</v>
      </c>
      <c r="H123" s="416"/>
    </row>
    <row r="124" spans="1:8">
      <c r="A124" s="8">
        <v>1.3340000000000001</v>
      </c>
      <c r="B124" t="s">
        <v>71</v>
      </c>
      <c r="D124" s="5"/>
      <c r="E124" s="5" t="s">
        <v>30</v>
      </c>
      <c r="F124" s="5">
        <v>0</v>
      </c>
      <c r="H124" s="416"/>
    </row>
    <row r="125" spans="1:8">
      <c r="A125" s="7">
        <v>1.34</v>
      </c>
      <c r="B125" t="s">
        <v>72</v>
      </c>
      <c r="D125" s="5"/>
      <c r="E125" s="5" t="s">
        <v>30</v>
      </c>
      <c r="F125" s="5">
        <v>0</v>
      </c>
      <c r="H125" s="416"/>
    </row>
    <row r="126" spans="1:8">
      <c r="A126" s="8">
        <v>1.3420000000000001</v>
      </c>
      <c r="B126" t="s">
        <v>105</v>
      </c>
      <c r="D126" s="5"/>
      <c r="E126" s="5" t="s">
        <v>30</v>
      </c>
      <c r="F126" s="5">
        <v>0</v>
      </c>
      <c r="H126" s="416"/>
    </row>
    <row r="127" spans="1:8">
      <c r="A127" s="7">
        <v>1.35</v>
      </c>
      <c r="B127" t="s">
        <v>73</v>
      </c>
      <c r="D127" s="5"/>
      <c r="E127" s="5" t="s">
        <v>30</v>
      </c>
      <c r="F127" s="5">
        <v>0</v>
      </c>
      <c r="H127" s="416"/>
    </row>
    <row r="128" spans="1:8">
      <c r="A128" s="8">
        <v>1.353</v>
      </c>
      <c r="B128" t="s">
        <v>74</v>
      </c>
      <c r="D128" s="5"/>
      <c r="E128" s="5" t="s">
        <v>30</v>
      </c>
      <c r="F128" s="5">
        <v>0</v>
      </c>
      <c r="H128" s="416"/>
    </row>
    <row r="129" spans="1:8">
      <c r="A129" s="7">
        <v>1.36</v>
      </c>
      <c r="B129" t="s">
        <v>75</v>
      </c>
      <c r="D129" s="5"/>
      <c r="E129" s="5" t="s">
        <v>30</v>
      </c>
      <c r="F129" s="5">
        <v>0</v>
      </c>
      <c r="H129" s="416"/>
    </row>
    <row r="130" spans="1:8">
      <c r="A130" s="8">
        <v>1.361</v>
      </c>
      <c r="B130" t="s">
        <v>76</v>
      </c>
      <c r="D130" s="5"/>
      <c r="E130" s="5" t="s">
        <v>30</v>
      </c>
      <c r="F130" s="5">
        <v>0</v>
      </c>
      <c r="H130" s="416"/>
    </row>
    <row r="131" spans="1:8">
      <c r="A131" s="8">
        <v>1.369</v>
      </c>
      <c r="B131" t="s">
        <v>106</v>
      </c>
      <c r="D131" s="5"/>
      <c r="E131" s="5" t="s">
        <v>30</v>
      </c>
      <c r="F131" s="5">
        <v>0</v>
      </c>
      <c r="H131" s="416"/>
    </row>
    <row r="132" spans="1:8">
      <c r="A132" s="7">
        <v>1.37</v>
      </c>
      <c r="B132" t="s">
        <v>77</v>
      </c>
      <c r="D132" s="5">
        <v>179.9</v>
      </c>
      <c r="E132" s="5" t="s">
        <v>30</v>
      </c>
      <c r="F132" s="5">
        <v>0</v>
      </c>
      <c r="H132" s="416"/>
    </row>
    <row r="133" spans="1:8">
      <c r="A133" s="8">
        <v>1.3720000000000001</v>
      </c>
      <c r="B133" t="s">
        <v>78</v>
      </c>
      <c r="D133" s="5"/>
      <c r="E133" s="5" t="s">
        <v>30</v>
      </c>
      <c r="F133" s="5">
        <v>0</v>
      </c>
      <c r="H133" s="416"/>
    </row>
    <row r="134" spans="1:8">
      <c r="A134" s="8">
        <v>1.373</v>
      </c>
      <c r="B134" t="s">
        <v>79</v>
      </c>
      <c r="D134" s="5"/>
      <c r="E134" s="5" t="s">
        <v>30</v>
      </c>
      <c r="F134" s="5">
        <v>0</v>
      </c>
      <c r="H134" s="416"/>
    </row>
    <row r="135" spans="1:8">
      <c r="A135" s="8">
        <v>1.3740000000000001</v>
      </c>
      <c r="B135" t="s">
        <v>80</v>
      </c>
      <c r="D135" s="5">
        <v>179.9</v>
      </c>
      <c r="E135" s="5" t="s">
        <v>30</v>
      </c>
      <c r="F135" s="5">
        <v>0</v>
      </c>
      <c r="H135" s="416"/>
    </row>
    <row r="136" spans="1:8">
      <c r="A136" s="7">
        <v>1.38</v>
      </c>
      <c r="B136" t="s">
        <v>81</v>
      </c>
      <c r="C136">
        <v>212.6</v>
      </c>
      <c r="D136" s="5"/>
      <c r="E136" s="5" t="s">
        <v>30</v>
      </c>
      <c r="F136" s="5">
        <v>0</v>
      </c>
      <c r="H136" s="416"/>
    </row>
    <row r="137" spans="1:8">
      <c r="A137" s="8">
        <v>1.381</v>
      </c>
      <c r="B137" t="s">
        <v>82</v>
      </c>
      <c r="C137">
        <v>212.6</v>
      </c>
      <c r="D137" s="5"/>
      <c r="E137" s="5" t="s">
        <v>30</v>
      </c>
      <c r="F137" s="5">
        <v>0</v>
      </c>
      <c r="H137" s="416"/>
    </row>
    <row r="138" spans="1:8">
      <c r="A138" s="9">
        <v>1.3811</v>
      </c>
      <c r="B138" t="s">
        <v>83</v>
      </c>
      <c r="D138" s="5"/>
      <c r="E138" s="5" t="s">
        <v>30</v>
      </c>
      <c r="F138" s="5">
        <v>0</v>
      </c>
      <c r="H138" s="416"/>
    </row>
    <row r="139" spans="1:8">
      <c r="A139" s="9">
        <v>1.3812</v>
      </c>
      <c r="B139" t="s">
        <v>84</v>
      </c>
      <c r="D139" s="5"/>
      <c r="E139" s="5" t="s">
        <v>30</v>
      </c>
      <c r="F139" s="5">
        <v>0</v>
      </c>
      <c r="H139" s="416"/>
    </row>
    <row r="140" spans="1:8">
      <c r="A140" s="9">
        <v>1.3813</v>
      </c>
      <c r="B140" t="s">
        <v>85</v>
      </c>
      <c r="C140">
        <v>212.6</v>
      </c>
      <c r="D140" s="5"/>
      <c r="E140" s="5" t="s">
        <v>30</v>
      </c>
      <c r="F140" s="5">
        <v>0</v>
      </c>
      <c r="H140" s="416"/>
    </row>
    <row r="141" spans="1:8">
      <c r="A141" s="7">
        <v>1.39</v>
      </c>
      <c r="B141" t="s">
        <v>86</v>
      </c>
      <c r="D141" s="5"/>
      <c r="E141" s="5" t="s">
        <v>30</v>
      </c>
      <c r="F141" s="5">
        <v>0</v>
      </c>
      <c r="H141" s="416"/>
    </row>
    <row r="142" spans="1:8">
      <c r="A142" s="8">
        <v>1.391</v>
      </c>
      <c r="B142" t="s">
        <v>87</v>
      </c>
      <c r="D142" s="5"/>
      <c r="E142" s="5" t="s">
        <v>30</v>
      </c>
      <c r="F142" s="5">
        <v>0</v>
      </c>
      <c r="H142" s="416"/>
    </row>
    <row r="143" spans="1:8">
      <c r="A143" s="9">
        <v>1.3911</v>
      </c>
      <c r="B143" t="s">
        <v>88</v>
      </c>
      <c r="D143" s="5"/>
      <c r="E143" s="5" t="s">
        <v>30</v>
      </c>
      <c r="F143" s="5">
        <v>0</v>
      </c>
      <c r="H143" s="416"/>
    </row>
    <row r="144" spans="1:8">
      <c r="A144" s="7">
        <v>1.5</v>
      </c>
      <c r="B144" t="s">
        <v>89</v>
      </c>
      <c r="D144" s="5"/>
      <c r="E144" s="5" t="s">
        <v>30</v>
      </c>
      <c r="F144" s="5">
        <v>0</v>
      </c>
      <c r="H144" s="416"/>
    </row>
    <row r="145" spans="1:8">
      <c r="A145" s="9">
        <v>1.5310999999999999</v>
      </c>
      <c r="B145" t="s">
        <v>90</v>
      </c>
      <c r="D145" s="5"/>
      <c r="E145" s="5" t="s">
        <v>30</v>
      </c>
      <c r="F145" s="5">
        <v>0</v>
      </c>
      <c r="H145" s="416"/>
    </row>
    <row r="146" spans="1:8">
      <c r="A146" s="7">
        <v>1.6</v>
      </c>
      <c r="B146" t="s">
        <v>91</v>
      </c>
      <c r="D146" s="5"/>
      <c r="E146" s="5" t="s">
        <v>30</v>
      </c>
      <c r="F146" s="5">
        <v>0</v>
      </c>
      <c r="H146" s="416"/>
    </row>
    <row r="147" spans="1:8">
      <c r="A147" s="7">
        <v>1.7</v>
      </c>
      <c r="B147" t="s">
        <v>92</v>
      </c>
      <c r="D147" s="5">
        <v>9.3000000000000007</v>
      </c>
      <c r="E147" s="5" t="s">
        <v>29</v>
      </c>
      <c r="F147" s="5">
        <v>0</v>
      </c>
      <c r="H147" s="416"/>
    </row>
    <row r="148" spans="1:8">
      <c r="A148" s="1"/>
      <c r="D148" s="5">
        <v>6.9</v>
      </c>
      <c r="E148" s="5" t="s">
        <v>30</v>
      </c>
      <c r="H148" s="416"/>
    </row>
    <row r="149" spans="1:8">
      <c r="A149" s="8">
        <v>1.71</v>
      </c>
      <c r="B149" t="s">
        <v>67</v>
      </c>
      <c r="D149" s="5"/>
      <c r="E149" s="5" t="s">
        <v>30</v>
      </c>
      <c r="F149" s="5">
        <v>0</v>
      </c>
      <c r="H149" s="416"/>
    </row>
    <row r="150" spans="1:8">
      <c r="A150" s="8">
        <v>1.72</v>
      </c>
      <c r="B150" t="s">
        <v>78</v>
      </c>
      <c r="D150" s="5">
        <v>9.3000000000000007</v>
      </c>
      <c r="E150" s="5" t="s">
        <v>29</v>
      </c>
      <c r="F150" s="5">
        <v>0</v>
      </c>
      <c r="H150" s="416"/>
    </row>
    <row r="151" spans="1:8">
      <c r="A151" s="8">
        <v>1.73</v>
      </c>
      <c r="B151" t="s">
        <v>79</v>
      </c>
      <c r="D151" s="5"/>
      <c r="E151" s="5" t="s">
        <v>30</v>
      </c>
      <c r="F151" s="5">
        <v>0</v>
      </c>
      <c r="H151" s="416"/>
    </row>
    <row r="152" spans="1:8">
      <c r="A152" s="8">
        <v>1.74</v>
      </c>
      <c r="B152" t="s">
        <v>80</v>
      </c>
      <c r="D152" s="5"/>
      <c r="E152" s="5" t="s">
        <v>30</v>
      </c>
      <c r="F152" s="5">
        <v>0</v>
      </c>
      <c r="H152" s="416"/>
    </row>
    <row r="153" spans="1:8">
      <c r="A153" s="8">
        <v>1.75</v>
      </c>
      <c r="B153" t="s">
        <v>93</v>
      </c>
      <c r="D153" s="5">
        <v>6.9</v>
      </c>
      <c r="E153" s="5" t="s">
        <v>30</v>
      </c>
      <c r="F153" s="5">
        <v>0</v>
      </c>
      <c r="H153" s="416"/>
    </row>
    <row r="154" spans="1:8">
      <c r="A154" s="7">
        <v>1.8</v>
      </c>
      <c r="B154" t="s">
        <v>94</v>
      </c>
      <c r="D154" s="5"/>
      <c r="E154" s="5" t="s">
        <v>30</v>
      </c>
      <c r="F154" s="5">
        <v>0</v>
      </c>
      <c r="H154" s="416"/>
    </row>
    <row r="155" spans="1:8">
      <c r="A155" s="7">
        <v>1.9</v>
      </c>
      <c r="B155" t="s">
        <v>95</v>
      </c>
      <c r="D155" s="5">
        <v>29.7</v>
      </c>
      <c r="E155" s="5" t="s">
        <v>30</v>
      </c>
      <c r="F155" s="5">
        <v>0</v>
      </c>
      <c r="H155" s="416"/>
    </row>
    <row r="156" spans="1:8">
      <c r="A156" s="8">
        <v>1.91</v>
      </c>
      <c r="B156" t="s">
        <v>96</v>
      </c>
      <c r="D156" s="5">
        <v>7.5</v>
      </c>
      <c r="E156" s="5" t="s">
        <v>30</v>
      </c>
      <c r="F156" s="5">
        <v>0</v>
      </c>
      <c r="H156" s="416"/>
    </row>
    <row r="157" spans="1:8">
      <c r="A157" s="8">
        <v>1.92</v>
      </c>
      <c r="B157" t="s">
        <v>97</v>
      </c>
      <c r="D157" s="5"/>
      <c r="E157" s="5" t="s">
        <v>30</v>
      </c>
      <c r="F157" s="5">
        <v>0</v>
      </c>
      <c r="H157" s="416"/>
    </row>
    <row r="158" spans="1:8">
      <c r="A158" s="8">
        <v>1.93</v>
      </c>
      <c r="B158" t="s">
        <v>98</v>
      </c>
      <c r="D158" s="5"/>
      <c r="E158" s="5" t="s">
        <v>30</v>
      </c>
      <c r="F158" s="5">
        <v>0</v>
      </c>
      <c r="H158" s="416"/>
    </row>
    <row r="159" spans="1:8">
      <c r="A159" s="8">
        <v>1.94</v>
      </c>
      <c r="B159" t="s">
        <v>99</v>
      </c>
      <c r="D159" s="5">
        <v>15</v>
      </c>
      <c r="E159" s="5" t="s">
        <v>30</v>
      </c>
      <c r="F159" s="5">
        <v>0</v>
      </c>
      <c r="H159" s="417"/>
    </row>
    <row r="160" spans="1:8">
      <c r="A160" s="8">
        <v>1.95</v>
      </c>
      <c r="B160" t="s">
        <v>100</v>
      </c>
      <c r="D160" s="5">
        <v>7</v>
      </c>
      <c r="E160" s="5" t="s">
        <v>30</v>
      </c>
      <c r="F160" s="5">
        <v>0</v>
      </c>
    </row>
    <row r="161" spans="1:8">
      <c r="A161" s="3"/>
    </row>
    <row r="162" spans="1:8">
      <c r="A162" s="1" t="s">
        <v>331</v>
      </c>
    </row>
    <row r="163" spans="1:8">
      <c r="A163" s="1">
        <v>2</v>
      </c>
      <c r="B163" t="s">
        <v>107</v>
      </c>
      <c r="D163">
        <v>2100.6</v>
      </c>
      <c r="E163" s="5" t="s">
        <v>28</v>
      </c>
      <c r="F163" s="5">
        <v>0</v>
      </c>
      <c r="H163" s="416"/>
    </row>
    <row r="164" spans="1:8">
      <c r="A164" s="1"/>
      <c r="D164">
        <v>51.5</v>
      </c>
      <c r="E164" s="5" t="s">
        <v>29</v>
      </c>
      <c r="H164" s="416"/>
    </row>
    <row r="165" spans="1:8">
      <c r="A165" s="1"/>
      <c r="D165">
        <v>2049.1</v>
      </c>
      <c r="E165" s="5" t="s">
        <v>30</v>
      </c>
      <c r="H165" s="416"/>
    </row>
    <row r="166" spans="1:8">
      <c r="A166" s="7">
        <v>2.1</v>
      </c>
      <c r="B166" t="s">
        <v>108</v>
      </c>
      <c r="D166">
        <v>51.5</v>
      </c>
      <c r="E166" s="5" t="s">
        <v>29</v>
      </c>
      <c r="F166" s="5">
        <v>0</v>
      </c>
      <c r="H166" s="416"/>
    </row>
    <row r="167" spans="1:8">
      <c r="A167" s="1"/>
      <c r="D167">
        <v>1141.3</v>
      </c>
      <c r="E167" s="5" t="s">
        <v>30</v>
      </c>
      <c r="H167" s="416"/>
    </row>
    <row r="168" spans="1:8">
      <c r="A168" s="8">
        <v>2.11</v>
      </c>
      <c r="B168" t="s">
        <v>109</v>
      </c>
      <c r="D168">
        <v>49.2</v>
      </c>
      <c r="E168" s="5" t="s">
        <v>29</v>
      </c>
      <c r="F168" s="5">
        <v>0</v>
      </c>
      <c r="H168" s="416"/>
    </row>
    <row r="169" spans="1:8">
      <c r="A169" s="1"/>
      <c r="D169">
        <v>284.7</v>
      </c>
      <c r="E169" s="5" t="s">
        <v>30</v>
      </c>
      <c r="H169" s="416"/>
    </row>
    <row r="170" spans="1:8">
      <c r="A170" s="9">
        <v>2.1110000000000002</v>
      </c>
      <c r="B170" t="s">
        <v>110</v>
      </c>
      <c r="D170">
        <v>44.5</v>
      </c>
      <c r="E170" s="5" t="s">
        <v>29</v>
      </c>
      <c r="F170" s="5">
        <v>0</v>
      </c>
      <c r="H170" s="416"/>
    </row>
    <row r="171" spans="1:8">
      <c r="A171" s="1"/>
      <c r="D171">
        <v>250.8</v>
      </c>
      <c r="E171" s="5" t="s">
        <v>30</v>
      </c>
      <c r="H171" s="416"/>
    </row>
    <row r="172" spans="1:8">
      <c r="A172" s="10">
        <v>2.1111</v>
      </c>
      <c r="B172" t="s">
        <v>111</v>
      </c>
      <c r="D172">
        <v>44.5</v>
      </c>
      <c r="E172" s="5" t="s">
        <v>29</v>
      </c>
      <c r="F172" s="5">
        <v>0</v>
      </c>
      <c r="H172" s="416"/>
    </row>
    <row r="173" spans="1:8">
      <c r="A173" s="1"/>
      <c r="D173">
        <v>250.8</v>
      </c>
      <c r="E173" s="5" t="s">
        <v>30</v>
      </c>
      <c r="H173" s="416"/>
    </row>
    <row r="174" spans="1:8">
      <c r="A174" s="12">
        <v>2.1111100999999999</v>
      </c>
      <c r="B174" t="s">
        <v>177</v>
      </c>
      <c r="D174">
        <v>28.3</v>
      </c>
      <c r="E174" s="5" t="s">
        <v>29</v>
      </c>
      <c r="F174" s="5">
        <v>1</v>
      </c>
      <c r="H174" s="416"/>
    </row>
    <row r="175" spans="1:8">
      <c r="A175" s="12">
        <v>2.1111103999999998</v>
      </c>
      <c r="B175" t="s">
        <v>178</v>
      </c>
      <c r="D175">
        <v>16.3</v>
      </c>
      <c r="E175" s="5" t="s">
        <v>29</v>
      </c>
      <c r="F175" s="5">
        <v>1</v>
      </c>
      <c r="H175" s="416"/>
    </row>
    <row r="176" spans="1:8">
      <c r="A176" s="12">
        <v>2.1111206</v>
      </c>
      <c r="B176" t="s">
        <v>179</v>
      </c>
      <c r="D176">
        <v>13.9</v>
      </c>
      <c r="E176" s="5" t="s">
        <v>30</v>
      </c>
      <c r="F176" s="5">
        <v>1</v>
      </c>
      <c r="H176" s="416"/>
    </row>
    <row r="177" spans="1:8">
      <c r="A177" s="11">
        <v>2.1111230000000001</v>
      </c>
      <c r="B177" t="s">
        <v>180</v>
      </c>
      <c r="D177">
        <v>44.6</v>
      </c>
      <c r="E177" s="5" t="s">
        <v>30</v>
      </c>
      <c r="F177" s="5">
        <v>4</v>
      </c>
      <c r="H177" s="416"/>
    </row>
    <row r="178" spans="1:8">
      <c r="A178" s="12">
        <v>2.1111301999999998</v>
      </c>
      <c r="B178" t="s">
        <v>181</v>
      </c>
      <c r="D178">
        <v>192.3</v>
      </c>
      <c r="E178" s="5" t="s">
        <v>30</v>
      </c>
      <c r="F178" s="5">
        <v>18</v>
      </c>
      <c r="H178" s="416"/>
    </row>
    <row r="179" spans="1:8">
      <c r="A179" s="10">
        <v>2.1114000000000002</v>
      </c>
      <c r="B179" t="s">
        <v>112</v>
      </c>
      <c r="E179" s="5" t="s">
        <v>30</v>
      </c>
      <c r="F179" s="5">
        <v>0</v>
      </c>
      <c r="H179" s="416"/>
    </row>
    <row r="180" spans="1:8">
      <c r="A180" s="10">
        <v>2.1114999999999999</v>
      </c>
      <c r="B180" t="s">
        <v>113</v>
      </c>
      <c r="E180" s="5" t="s">
        <v>30</v>
      </c>
      <c r="F180" s="5">
        <v>0</v>
      </c>
      <c r="H180" s="416"/>
    </row>
    <row r="181" spans="1:8">
      <c r="A181" s="9">
        <v>2.1120000000000001</v>
      </c>
      <c r="B181" t="s">
        <v>114</v>
      </c>
      <c r="D181">
        <v>4.5</v>
      </c>
      <c r="E181" s="5" t="s">
        <v>29</v>
      </c>
      <c r="F181" s="5">
        <v>0</v>
      </c>
      <c r="H181" s="416"/>
    </row>
    <row r="182" spans="1:8">
      <c r="A182" s="1"/>
      <c r="D182">
        <v>33.700000000000003</v>
      </c>
      <c r="E182" s="5" t="s">
        <v>30</v>
      </c>
      <c r="H182" s="416"/>
    </row>
    <row r="183" spans="1:8">
      <c r="A183" s="10">
        <v>2.1120999999999999</v>
      </c>
      <c r="B183" t="s">
        <v>111</v>
      </c>
      <c r="D183">
        <v>4.5</v>
      </c>
      <c r="E183" s="5" t="s">
        <v>29</v>
      </c>
      <c r="F183" s="5">
        <v>0</v>
      </c>
      <c r="H183" s="416"/>
    </row>
    <row r="184" spans="1:8">
      <c r="A184" s="1"/>
      <c r="D184">
        <v>33.700000000000003</v>
      </c>
      <c r="E184" s="5" t="s">
        <v>30</v>
      </c>
      <c r="H184" s="416"/>
    </row>
    <row r="185" spans="1:8">
      <c r="A185" s="12">
        <v>2.1121101000000002</v>
      </c>
      <c r="B185" t="s">
        <v>182</v>
      </c>
      <c r="D185">
        <v>4.5</v>
      </c>
      <c r="E185" s="5" t="s">
        <v>29</v>
      </c>
      <c r="F185" s="5">
        <v>1</v>
      </c>
      <c r="H185" s="416"/>
    </row>
    <row r="186" spans="1:8">
      <c r="A186" s="12">
        <v>2.1121200999999998</v>
      </c>
      <c r="B186" t="s">
        <v>184</v>
      </c>
      <c r="D186">
        <v>2.7</v>
      </c>
      <c r="E186" s="5" t="s">
        <v>30</v>
      </c>
      <c r="F186" s="5">
        <v>1</v>
      </c>
      <c r="H186" s="416"/>
    </row>
    <row r="187" spans="1:8">
      <c r="A187" s="12">
        <v>2.1121203</v>
      </c>
      <c r="B187" t="s">
        <v>183</v>
      </c>
      <c r="D187">
        <v>4.2</v>
      </c>
      <c r="E187" s="5" t="s">
        <v>30</v>
      </c>
      <c r="F187" s="5">
        <v>2</v>
      </c>
      <c r="H187" s="416"/>
    </row>
    <row r="188" spans="1:8">
      <c r="A188" s="12">
        <v>2.1121303</v>
      </c>
      <c r="B188" t="s">
        <v>185</v>
      </c>
      <c r="D188">
        <v>26.8</v>
      </c>
      <c r="E188" s="5" t="s">
        <v>30</v>
      </c>
      <c r="F188" s="5">
        <v>3</v>
      </c>
      <c r="H188" s="416"/>
    </row>
    <row r="189" spans="1:8">
      <c r="A189" s="10">
        <v>2.1124000000000001</v>
      </c>
      <c r="B189" t="s">
        <v>112</v>
      </c>
      <c r="E189" s="5" t="s">
        <v>30</v>
      </c>
      <c r="F189" s="5">
        <v>0</v>
      </c>
      <c r="H189" s="416"/>
    </row>
    <row r="190" spans="1:8">
      <c r="A190" s="10">
        <v>2.1124999999999998</v>
      </c>
      <c r="B190" t="s">
        <v>113</v>
      </c>
      <c r="E190" s="5" t="s">
        <v>30</v>
      </c>
      <c r="F190" s="5">
        <v>0</v>
      </c>
      <c r="H190" s="416"/>
    </row>
    <row r="191" spans="1:8">
      <c r="A191" s="8">
        <v>2.12</v>
      </c>
      <c r="B191" t="s">
        <v>115</v>
      </c>
      <c r="D191">
        <v>116.5</v>
      </c>
      <c r="E191" s="5" t="s">
        <v>30</v>
      </c>
      <c r="F191" s="5">
        <v>0</v>
      </c>
      <c r="H191" s="416"/>
    </row>
    <row r="192" spans="1:8">
      <c r="A192" s="9">
        <v>2.121</v>
      </c>
      <c r="B192" t="s">
        <v>110</v>
      </c>
      <c r="D192">
        <v>89.4</v>
      </c>
      <c r="E192" s="5" t="s">
        <v>30</v>
      </c>
      <c r="F192" s="5">
        <v>0</v>
      </c>
      <c r="H192" s="416"/>
    </row>
    <row r="193" spans="1:8">
      <c r="A193" s="10">
        <v>2.1211000000000002</v>
      </c>
      <c r="B193" t="s">
        <v>116</v>
      </c>
      <c r="D193">
        <v>89.4</v>
      </c>
      <c r="E193" s="5" t="s">
        <v>30</v>
      </c>
      <c r="F193" s="5">
        <v>3</v>
      </c>
      <c r="H193" s="416"/>
    </row>
    <row r="194" spans="1:8">
      <c r="A194" s="9">
        <v>2.1219999999999999</v>
      </c>
      <c r="B194" t="s">
        <v>114</v>
      </c>
      <c r="D194">
        <v>27</v>
      </c>
      <c r="E194" s="5" t="s">
        <v>30</v>
      </c>
      <c r="F194" s="5">
        <v>0</v>
      </c>
      <c r="H194" s="416"/>
    </row>
    <row r="195" spans="1:8">
      <c r="A195" s="10">
        <v>2.1221000000000001</v>
      </c>
      <c r="B195" t="s">
        <v>116</v>
      </c>
      <c r="D195">
        <v>27</v>
      </c>
      <c r="E195" s="5" t="s">
        <v>30</v>
      </c>
      <c r="F195" s="5">
        <v>3</v>
      </c>
      <c r="H195" s="416"/>
    </row>
    <row r="196" spans="1:8">
      <c r="A196" s="8">
        <v>2.13</v>
      </c>
      <c r="B196" t="s">
        <v>117</v>
      </c>
      <c r="D196">
        <v>713.2</v>
      </c>
      <c r="E196" s="5" t="s">
        <v>30</v>
      </c>
      <c r="F196" s="5">
        <v>0</v>
      </c>
      <c r="H196" s="416"/>
    </row>
    <row r="197" spans="1:8">
      <c r="A197" s="9">
        <v>2.1309999999999998</v>
      </c>
      <c r="B197" t="s">
        <v>110</v>
      </c>
      <c r="D197">
        <v>567</v>
      </c>
      <c r="E197" s="5" t="s">
        <v>30</v>
      </c>
      <c r="F197" s="5">
        <v>0</v>
      </c>
      <c r="H197" s="416"/>
    </row>
    <row r="198" spans="1:8">
      <c r="A198" s="10">
        <v>2.1311</v>
      </c>
      <c r="B198" t="s">
        <v>118</v>
      </c>
      <c r="D198">
        <v>567</v>
      </c>
      <c r="E198" s="5" t="s">
        <v>30</v>
      </c>
      <c r="F198" s="5">
        <v>0</v>
      </c>
      <c r="H198" s="416"/>
    </row>
    <row r="199" spans="1:8">
      <c r="A199" s="10">
        <v>2.1311</v>
      </c>
      <c r="B199" t="s">
        <v>119</v>
      </c>
      <c r="D199">
        <v>567</v>
      </c>
      <c r="E199" s="5" t="s">
        <v>30</v>
      </c>
      <c r="F199" s="5">
        <v>13</v>
      </c>
      <c r="H199" s="416"/>
    </row>
    <row r="200" spans="1:8">
      <c r="A200" s="9">
        <v>2.1320000000000001</v>
      </c>
      <c r="B200" t="s">
        <v>114</v>
      </c>
      <c r="D200">
        <v>117.2</v>
      </c>
      <c r="E200" s="5" t="s">
        <v>30</v>
      </c>
      <c r="F200" s="5">
        <v>0</v>
      </c>
      <c r="H200" s="416"/>
    </row>
    <row r="201" spans="1:8">
      <c r="A201" s="10">
        <v>2.1320999999999999</v>
      </c>
      <c r="B201" t="s">
        <v>118</v>
      </c>
      <c r="D201">
        <v>117.2</v>
      </c>
      <c r="E201" s="5" t="s">
        <v>30</v>
      </c>
      <c r="F201" s="5">
        <v>0</v>
      </c>
      <c r="H201" s="416"/>
    </row>
    <row r="202" spans="1:8">
      <c r="A202" s="10">
        <v>2.1320999999999999</v>
      </c>
      <c r="B202" t="s">
        <v>120</v>
      </c>
      <c r="D202">
        <v>117.2</v>
      </c>
      <c r="E202" s="5" t="s">
        <v>30</v>
      </c>
      <c r="F202" s="5">
        <v>13</v>
      </c>
      <c r="H202" s="416"/>
    </row>
    <row r="203" spans="1:8">
      <c r="A203" s="9">
        <v>2.133</v>
      </c>
      <c r="B203" t="s">
        <v>121</v>
      </c>
      <c r="D203">
        <v>29.1</v>
      </c>
      <c r="E203" s="5" t="s">
        <v>30</v>
      </c>
      <c r="F203" s="5">
        <v>0</v>
      </c>
      <c r="H203" s="416"/>
    </row>
    <row r="204" spans="1:8">
      <c r="A204" s="10">
        <v>2.1331000000000002</v>
      </c>
      <c r="B204" t="s">
        <v>186</v>
      </c>
      <c r="D204">
        <v>14.5</v>
      </c>
      <c r="E204" s="5" t="s">
        <v>30</v>
      </c>
      <c r="F204" s="5">
        <v>0</v>
      </c>
      <c r="H204" s="416"/>
    </row>
    <row r="205" spans="1:8">
      <c r="A205" s="10">
        <v>2.1332</v>
      </c>
      <c r="B205" t="s">
        <v>187</v>
      </c>
      <c r="D205">
        <v>14.5</v>
      </c>
      <c r="E205" s="5" t="s">
        <v>30</v>
      </c>
      <c r="F205" s="5">
        <v>0</v>
      </c>
      <c r="H205" s="416"/>
    </row>
    <row r="206" spans="1:8">
      <c r="A206" s="10">
        <v>2.1335999999999999</v>
      </c>
      <c r="B206" t="s">
        <v>188</v>
      </c>
      <c r="E206" s="5" t="s">
        <v>30</v>
      </c>
      <c r="F206" s="5">
        <v>0</v>
      </c>
      <c r="H206" s="416"/>
    </row>
    <row r="207" spans="1:8">
      <c r="A207" s="8">
        <v>2.14</v>
      </c>
      <c r="B207" t="s">
        <v>122</v>
      </c>
      <c r="D207">
        <v>2.2000000000000002</v>
      </c>
      <c r="E207" s="5" t="s">
        <v>29</v>
      </c>
      <c r="F207" s="5">
        <v>0</v>
      </c>
      <c r="H207" s="416"/>
    </row>
    <row r="208" spans="1:8">
      <c r="A208" s="7"/>
      <c r="D208">
        <v>10.1</v>
      </c>
      <c r="E208" s="5" t="s">
        <v>30</v>
      </c>
      <c r="H208" s="416"/>
    </row>
    <row r="209" spans="1:8">
      <c r="A209" s="9">
        <v>2.141</v>
      </c>
      <c r="B209" t="s">
        <v>189</v>
      </c>
      <c r="D209">
        <v>5.5</v>
      </c>
      <c r="E209" s="5" t="s">
        <v>30</v>
      </c>
      <c r="F209" s="5">
        <v>1</v>
      </c>
      <c r="H209" s="416"/>
    </row>
    <row r="210" spans="1:8">
      <c r="A210" s="9">
        <v>2.1419999999999999</v>
      </c>
      <c r="B210" t="s">
        <v>190</v>
      </c>
      <c r="D210">
        <v>2.2000000000000002</v>
      </c>
      <c r="E210" s="5" t="s">
        <v>29</v>
      </c>
      <c r="F210" s="5">
        <v>1</v>
      </c>
      <c r="H210" s="416"/>
    </row>
    <row r="211" spans="1:8">
      <c r="A211" s="9">
        <v>2.1429999999999998</v>
      </c>
      <c r="B211" t="s">
        <v>191</v>
      </c>
      <c r="D211">
        <v>2.2000000000000002</v>
      </c>
      <c r="E211" s="5" t="s">
        <v>30</v>
      </c>
      <c r="F211" s="5">
        <v>1</v>
      </c>
      <c r="H211" s="416"/>
    </row>
    <row r="212" spans="1:8">
      <c r="A212" s="9">
        <v>2.1440000000000001</v>
      </c>
      <c r="B212" t="s">
        <v>192</v>
      </c>
      <c r="D212">
        <v>2.2000000000000002</v>
      </c>
      <c r="E212" s="5" t="s">
        <v>30</v>
      </c>
      <c r="F212" s="5">
        <v>1</v>
      </c>
      <c r="H212" s="416"/>
    </row>
    <row r="213" spans="1:8">
      <c r="A213" s="8">
        <v>2.15</v>
      </c>
      <c r="B213" t="s">
        <v>123</v>
      </c>
      <c r="D213">
        <v>13.5</v>
      </c>
      <c r="E213" s="5" t="s">
        <v>30</v>
      </c>
      <c r="F213" s="5">
        <v>0</v>
      </c>
      <c r="H213" s="416"/>
    </row>
    <row r="214" spans="1:8">
      <c r="A214" s="9">
        <v>2.1509999999999998</v>
      </c>
      <c r="B214" t="s">
        <v>124</v>
      </c>
      <c r="D214">
        <v>7.2</v>
      </c>
      <c r="E214" s="5" t="s">
        <v>30</v>
      </c>
      <c r="F214" s="5">
        <v>0</v>
      </c>
      <c r="H214" s="416"/>
    </row>
    <row r="215" spans="1:8">
      <c r="A215" s="10">
        <v>2.1511</v>
      </c>
      <c r="B215" t="s">
        <v>193</v>
      </c>
      <c r="D215">
        <v>7.2</v>
      </c>
      <c r="E215" s="5" t="s">
        <v>30</v>
      </c>
      <c r="F215" s="5">
        <v>0</v>
      </c>
      <c r="H215" s="416"/>
    </row>
    <row r="216" spans="1:8">
      <c r="A216" s="9">
        <v>2.1520000000000001</v>
      </c>
      <c r="B216" t="s">
        <v>125</v>
      </c>
      <c r="D216">
        <v>1.9</v>
      </c>
      <c r="E216" s="5" t="s">
        <v>30</v>
      </c>
      <c r="F216" s="5">
        <v>0</v>
      </c>
      <c r="H216" s="416"/>
    </row>
    <row r="217" spans="1:8">
      <c r="A217" s="10">
        <v>2.1520999999999999</v>
      </c>
      <c r="B217" t="s">
        <v>194</v>
      </c>
      <c r="D217">
        <v>1.9</v>
      </c>
      <c r="E217" s="5" t="s">
        <v>30</v>
      </c>
      <c r="F217" s="5">
        <v>0</v>
      </c>
      <c r="H217" s="416"/>
    </row>
    <row r="218" spans="1:8">
      <c r="A218" s="9">
        <v>2.153</v>
      </c>
      <c r="B218" t="s">
        <v>126</v>
      </c>
      <c r="D218">
        <v>4.3</v>
      </c>
      <c r="E218" s="5" t="s">
        <v>30</v>
      </c>
      <c r="F218" s="5">
        <v>0</v>
      </c>
      <c r="H218" s="416"/>
    </row>
    <row r="219" spans="1:8">
      <c r="A219" s="10">
        <v>2.1532</v>
      </c>
      <c r="B219" t="s">
        <v>195</v>
      </c>
      <c r="D219">
        <v>4.3</v>
      </c>
      <c r="E219" s="5" t="s">
        <v>30</v>
      </c>
      <c r="F219" s="5">
        <v>0</v>
      </c>
      <c r="H219" s="416"/>
    </row>
    <row r="220" spans="1:8">
      <c r="A220" s="9">
        <v>2.1539999999999999</v>
      </c>
      <c r="B220" t="s">
        <v>127</v>
      </c>
      <c r="E220" s="5" t="s">
        <v>30</v>
      </c>
      <c r="F220" s="5">
        <v>0</v>
      </c>
      <c r="H220" s="416"/>
    </row>
    <row r="221" spans="1:8">
      <c r="A221" s="8">
        <v>2.16</v>
      </c>
      <c r="B221" t="s">
        <v>128</v>
      </c>
      <c r="D221">
        <v>3.2</v>
      </c>
      <c r="E221" s="5" t="s">
        <v>30</v>
      </c>
      <c r="F221" s="5">
        <v>0</v>
      </c>
      <c r="H221" s="416"/>
    </row>
    <row r="222" spans="1:8">
      <c r="A222" s="9">
        <v>2.1619999999999999</v>
      </c>
      <c r="B222" t="s">
        <v>196</v>
      </c>
      <c r="D222">
        <v>3.2</v>
      </c>
      <c r="E222" s="5" t="s">
        <v>30</v>
      </c>
      <c r="F222" s="5">
        <v>0</v>
      </c>
      <c r="H222" s="416"/>
    </row>
    <row r="223" spans="1:8">
      <c r="A223" s="7">
        <v>2.2000000000000002</v>
      </c>
      <c r="B223" t="s">
        <v>129</v>
      </c>
      <c r="D223">
        <v>529.6</v>
      </c>
      <c r="E223" s="5" t="s">
        <v>30</v>
      </c>
      <c r="F223" s="5">
        <v>0</v>
      </c>
      <c r="H223" s="416"/>
    </row>
    <row r="224" spans="1:8">
      <c r="A224" s="8">
        <v>2.21</v>
      </c>
      <c r="B224" t="s">
        <v>130</v>
      </c>
      <c r="D224">
        <v>300.8</v>
      </c>
      <c r="E224" s="5" t="s">
        <v>30</v>
      </c>
      <c r="F224" s="5">
        <v>0</v>
      </c>
      <c r="H224" s="416"/>
    </row>
    <row r="225" spans="1:8">
      <c r="A225" s="9">
        <v>2.2109999999999999</v>
      </c>
      <c r="B225" t="s">
        <v>131</v>
      </c>
      <c r="D225">
        <v>81.3</v>
      </c>
      <c r="E225" s="5" t="s">
        <v>30</v>
      </c>
      <c r="F225" s="5">
        <v>0</v>
      </c>
      <c r="H225" s="416"/>
    </row>
    <row r="226" spans="1:8">
      <c r="A226" s="10">
        <v>2.2111000000000001</v>
      </c>
      <c r="B226" t="s">
        <v>197</v>
      </c>
      <c r="D226">
        <v>81.3</v>
      </c>
      <c r="E226" s="5" t="s">
        <v>30</v>
      </c>
      <c r="F226" s="5">
        <v>0</v>
      </c>
      <c r="H226" s="416"/>
    </row>
    <row r="227" spans="1:8">
      <c r="A227" s="9">
        <v>2.2120000000000002</v>
      </c>
      <c r="B227" t="s">
        <v>132</v>
      </c>
      <c r="D227">
        <v>69.7</v>
      </c>
      <c r="E227" s="5" t="s">
        <v>30</v>
      </c>
      <c r="F227" s="5">
        <v>0</v>
      </c>
      <c r="H227" s="416"/>
    </row>
    <row r="228" spans="1:8">
      <c r="A228" s="10">
        <v>2.2121</v>
      </c>
      <c r="B228" t="s">
        <v>198</v>
      </c>
      <c r="D228">
        <v>69.7</v>
      </c>
      <c r="E228" s="5" t="s">
        <v>30</v>
      </c>
      <c r="F228" s="5">
        <v>0</v>
      </c>
      <c r="H228" s="416"/>
    </row>
    <row r="229" spans="1:8">
      <c r="A229" s="9">
        <v>2.2130000000000001</v>
      </c>
      <c r="B229" t="s">
        <v>133</v>
      </c>
      <c r="D229">
        <v>138.1</v>
      </c>
      <c r="E229" s="5" t="s">
        <v>30</v>
      </c>
      <c r="F229" s="5">
        <v>0</v>
      </c>
      <c r="H229" s="416"/>
    </row>
    <row r="230" spans="1:8">
      <c r="A230" s="10">
        <v>2.2130999999999998</v>
      </c>
      <c r="B230" t="s">
        <v>199</v>
      </c>
      <c r="D230">
        <v>20.7</v>
      </c>
      <c r="E230" s="5" t="s">
        <v>30</v>
      </c>
      <c r="F230" s="5">
        <v>0</v>
      </c>
      <c r="H230" s="416"/>
    </row>
    <row r="231" spans="1:8">
      <c r="A231" s="10">
        <v>2.2132999999999998</v>
      </c>
      <c r="B231" t="s">
        <v>200</v>
      </c>
      <c r="D231">
        <v>117.5</v>
      </c>
      <c r="E231" s="5" t="s">
        <v>30</v>
      </c>
      <c r="F231" s="5">
        <v>0</v>
      </c>
      <c r="H231" s="416"/>
    </row>
    <row r="232" spans="1:8">
      <c r="A232" s="9">
        <v>2.214</v>
      </c>
      <c r="B232" t="s">
        <v>134</v>
      </c>
      <c r="D232">
        <v>11.6</v>
      </c>
      <c r="E232" s="5" t="s">
        <v>30</v>
      </c>
      <c r="F232" s="5">
        <v>0</v>
      </c>
      <c r="H232" s="416"/>
    </row>
    <row r="233" spans="1:8">
      <c r="A233" s="10">
        <v>2.2141000000000002</v>
      </c>
      <c r="B233" t="s">
        <v>201</v>
      </c>
      <c r="D233">
        <v>11.6</v>
      </c>
      <c r="E233" s="5" t="s">
        <v>30</v>
      </c>
      <c r="F233" s="5">
        <v>0</v>
      </c>
      <c r="H233" s="416"/>
    </row>
    <row r="234" spans="1:8">
      <c r="A234" s="9">
        <v>2.2149999999999999</v>
      </c>
      <c r="B234" t="s">
        <v>113</v>
      </c>
      <c r="E234" s="5" t="s">
        <v>30</v>
      </c>
      <c r="F234" s="5">
        <v>0</v>
      </c>
      <c r="H234" s="416"/>
    </row>
    <row r="235" spans="1:8">
      <c r="A235" s="8">
        <v>2.2200000000000002</v>
      </c>
      <c r="B235" t="s">
        <v>135</v>
      </c>
      <c r="D235">
        <v>124.9</v>
      </c>
      <c r="E235" s="5" t="s">
        <v>30</v>
      </c>
      <c r="F235" s="5">
        <v>0</v>
      </c>
      <c r="H235" s="416"/>
    </row>
    <row r="236" spans="1:8">
      <c r="A236" s="9">
        <v>2.2210000000000001</v>
      </c>
      <c r="B236" t="s">
        <v>136</v>
      </c>
      <c r="E236" s="5" t="s">
        <v>30</v>
      </c>
      <c r="F236" s="5">
        <v>0</v>
      </c>
      <c r="H236" s="416"/>
    </row>
    <row r="237" spans="1:8">
      <c r="A237" s="9">
        <v>2.222</v>
      </c>
      <c r="B237" t="s">
        <v>137</v>
      </c>
      <c r="D237">
        <v>96.8</v>
      </c>
      <c r="E237" s="5" t="s">
        <v>30</v>
      </c>
      <c r="F237" s="5">
        <v>0</v>
      </c>
      <c r="H237" s="416"/>
    </row>
    <row r="238" spans="1:8">
      <c r="A238" s="10">
        <v>2.2221000000000002</v>
      </c>
      <c r="B238" t="s">
        <v>202</v>
      </c>
      <c r="D238">
        <v>10.6</v>
      </c>
      <c r="E238" s="5" t="s">
        <v>30</v>
      </c>
      <c r="F238" s="5">
        <v>0</v>
      </c>
      <c r="H238" s="416"/>
    </row>
    <row r="239" spans="1:8">
      <c r="A239" s="10">
        <v>2.2222</v>
      </c>
      <c r="B239" t="s">
        <v>203</v>
      </c>
      <c r="D239">
        <v>12.1</v>
      </c>
      <c r="E239" s="5" t="s">
        <v>30</v>
      </c>
      <c r="F239" s="5">
        <v>0</v>
      </c>
      <c r="H239" s="416"/>
    </row>
    <row r="240" spans="1:8">
      <c r="A240" s="10">
        <v>2.2223000000000002</v>
      </c>
      <c r="B240" t="s">
        <v>204</v>
      </c>
      <c r="D240">
        <v>9.1</v>
      </c>
      <c r="E240" s="5" t="s">
        <v>30</v>
      </c>
      <c r="F240" s="5">
        <v>0</v>
      </c>
      <c r="H240" s="416"/>
    </row>
    <row r="241" spans="1:8">
      <c r="A241" s="10">
        <v>2.2223999999999999</v>
      </c>
      <c r="B241" t="s">
        <v>205</v>
      </c>
      <c r="D241">
        <v>64.900000000000006</v>
      </c>
      <c r="E241" s="5" t="s">
        <v>30</v>
      </c>
      <c r="F241" s="5">
        <v>0</v>
      </c>
      <c r="H241" s="416"/>
    </row>
    <row r="242" spans="1:8">
      <c r="A242" s="9">
        <v>2.2229999999999999</v>
      </c>
      <c r="B242" t="s">
        <v>138</v>
      </c>
      <c r="D242">
        <v>7.5</v>
      </c>
      <c r="E242" s="5" t="s">
        <v>30</v>
      </c>
      <c r="F242" s="5">
        <v>0</v>
      </c>
      <c r="H242" s="416"/>
    </row>
    <row r="243" spans="1:8">
      <c r="A243" s="10">
        <v>2.2233000000000001</v>
      </c>
      <c r="B243" t="s">
        <v>206</v>
      </c>
      <c r="D243">
        <v>7.5</v>
      </c>
      <c r="E243" s="5" t="s">
        <v>30</v>
      </c>
      <c r="F243" s="5">
        <v>0</v>
      </c>
      <c r="H243" s="416"/>
    </row>
    <row r="244" spans="1:8">
      <c r="A244" s="9">
        <v>2.2240000000000002</v>
      </c>
      <c r="B244" t="s">
        <v>139</v>
      </c>
      <c r="D244">
        <v>20.3</v>
      </c>
      <c r="E244" s="5" t="s">
        <v>30</v>
      </c>
      <c r="F244" s="5">
        <v>0</v>
      </c>
      <c r="H244" s="416"/>
    </row>
    <row r="245" spans="1:8">
      <c r="A245" s="10">
        <v>2.2242999999999999</v>
      </c>
      <c r="B245" t="s">
        <v>207</v>
      </c>
      <c r="D245">
        <v>20.3</v>
      </c>
      <c r="E245" s="5" t="s">
        <v>30</v>
      </c>
      <c r="F245" s="5">
        <v>0</v>
      </c>
      <c r="H245" s="416"/>
    </row>
    <row r="246" spans="1:8">
      <c r="A246" s="9">
        <v>2.2250000000000001</v>
      </c>
      <c r="B246" t="s">
        <v>140</v>
      </c>
      <c r="E246" s="5" t="s">
        <v>30</v>
      </c>
      <c r="F246" s="5">
        <v>0</v>
      </c>
      <c r="H246" s="416"/>
    </row>
    <row r="247" spans="1:8">
      <c r="A247" s="9">
        <v>2.226</v>
      </c>
      <c r="B247" t="s">
        <v>141</v>
      </c>
      <c r="E247" s="5" t="s">
        <v>30</v>
      </c>
      <c r="F247" s="5">
        <v>0</v>
      </c>
      <c r="H247" s="416"/>
    </row>
    <row r="248" spans="1:8">
      <c r="A248" s="8">
        <v>2.23</v>
      </c>
      <c r="B248" t="s">
        <v>142</v>
      </c>
      <c r="D248">
        <v>103.9</v>
      </c>
      <c r="E248" s="5" t="s">
        <v>30</v>
      </c>
      <c r="F248" s="5">
        <v>0</v>
      </c>
      <c r="H248" s="416"/>
    </row>
    <row r="249" spans="1:8">
      <c r="A249" s="9">
        <v>2.2309999999999999</v>
      </c>
      <c r="B249" t="s">
        <v>143</v>
      </c>
      <c r="D249">
        <v>23.6</v>
      </c>
      <c r="E249" s="5" t="s">
        <v>30</v>
      </c>
      <c r="F249" s="5">
        <v>0</v>
      </c>
      <c r="H249" s="416"/>
    </row>
    <row r="250" spans="1:8">
      <c r="A250" s="9">
        <v>2.2320000000000002</v>
      </c>
      <c r="B250" t="s">
        <v>144</v>
      </c>
      <c r="D250">
        <v>23.1</v>
      </c>
      <c r="E250" s="5" t="s">
        <v>30</v>
      </c>
      <c r="F250" s="5">
        <v>0</v>
      </c>
      <c r="H250" s="416"/>
    </row>
    <row r="251" spans="1:8">
      <c r="A251" s="9">
        <v>2.2330000000000001</v>
      </c>
      <c r="B251" t="s">
        <v>145</v>
      </c>
      <c r="D251">
        <v>49.6</v>
      </c>
      <c r="E251" s="5" t="s">
        <v>30</v>
      </c>
      <c r="F251" s="5">
        <v>0</v>
      </c>
      <c r="H251" s="416"/>
    </row>
    <row r="252" spans="1:8">
      <c r="A252" s="9">
        <v>2.234</v>
      </c>
      <c r="B252" t="s">
        <v>146</v>
      </c>
      <c r="D252">
        <v>7.5</v>
      </c>
      <c r="E252" s="5" t="s">
        <v>30</v>
      </c>
      <c r="F252" s="5">
        <v>0</v>
      </c>
      <c r="H252" s="416"/>
    </row>
    <row r="253" spans="1:8">
      <c r="A253" s="10">
        <v>2.2341000000000002</v>
      </c>
      <c r="B253" t="s">
        <v>208</v>
      </c>
      <c r="D253">
        <v>7.5</v>
      </c>
      <c r="E253" s="5" t="s">
        <v>30</v>
      </c>
      <c r="F253" s="5">
        <v>0</v>
      </c>
      <c r="H253" s="416"/>
    </row>
    <row r="254" spans="1:8">
      <c r="A254" s="7">
        <v>2.2999999999999998</v>
      </c>
      <c r="B254" t="s">
        <v>147</v>
      </c>
      <c r="D254">
        <v>76.5</v>
      </c>
      <c r="E254" s="5" t="s">
        <v>30</v>
      </c>
      <c r="F254" s="5">
        <v>0</v>
      </c>
      <c r="H254" s="416"/>
    </row>
    <row r="255" spans="1:8">
      <c r="A255" s="8">
        <v>2.31</v>
      </c>
      <c r="B255" t="s">
        <v>148</v>
      </c>
      <c r="D255">
        <v>46.1</v>
      </c>
      <c r="E255" s="5" t="s">
        <v>30</v>
      </c>
      <c r="F255" s="5">
        <v>0</v>
      </c>
      <c r="H255" s="416"/>
    </row>
    <row r="256" spans="1:8">
      <c r="A256" s="9">
        <v>2.3170000000000002</v>
      </c>
      <c r="B256" t="s">
        <v>209</v>
      </c>
      <c r="D256">
        <v>6.7</v>
      </c>
      <c r="E256" s="5" t="s">
        <v>30</v>
      </c>
      <c r="F256" s="5">
        <v>0</v>
      </c>
      <c r="H256" s="416"/>
    </row>
    <row r="257" spans="1:8">
      <c r="A257" s="10">
        <v>2.3100999999999998</v>
      </c>
      <c r="B257" t="s">
        <v>149</v>
      </c>
      <c r="E257" s="5" t="s">
        <v>30</v>
      </c>
      <c r="F257" s="5">
        <v>0</v>
      </c>
      <c r="H257" s="416"/>
    </row>
    <row r="258" spans="1:8">
      <c r="A258" s="11">
        <v>2.3101099999999999</v>
      </c>
      <c r="B258" t="s">
        <v>210</v>
      </c>
      <c r="E258" s="5" t="s">
        <v>30</v>
      </c>
      <c r="F258" s="5">
        <v>0</v>
      </c>
      <c r="H258" s="416"/>
    </row>
    <row r="259" spans="1:8">
      <c r="A259" s="11">
        <v>2.31012</v>
      </c>
      <c r="B259" t="s">
        <v>211</v>
      </c>
      <c r="D259">
        <v>24.1</v>
      </c>
      <c r="E259" s="5" t="s">
        <v>30</v>
      </c>
      <c r="F259" s="5">
        <v>0</v>
      </c>
      <c r="H259" s="416"/>
    </row>
    <row r="260" spans="1:8">
      <c r="A260" s="11">
        <v>2.3102299999999998</v>
      </c>
      <c r="B260" t="s">
        <v>212</v>
      </c>
      <c r="D260">
        <v>5.2</v>
      </c>
      <c r="E260" s="5" t="s">
        <v>30</v>
      </c>
      <c r="F260" s="5">
        <v>0</v>
      </c>
      <c r="H260" s="416"/>
    </row>
    <row r="261" spans="1:8">
      <c r="A261" s="11">
        <v>2.3102399999999998</v>
      </c>
      <c r="B261" t="s">
        <v>213</v>
      </c>
      <c r="D261">
        <v>4.5</v>
      </c>
      <c r="E261" s="5" t="s">
        <v>30</v>
      </c>
      <c r="F261" s="5">
        <v>0</v>
      </c>
      <c r="H261" s="416"/>
    </row>
    <row r="262" spans="1:8">
      <c r="A262" s="11">
        <v>2.3102499999999999</v>
      </c>
      <c r="B262" t="s">
        <v>214</v>
      </c>
      <c r="D262">
        <v>5.5</v>
      </c>
      <c r="E262" s="5" t="s">
        <v>30</v>
      </c>
      <c r="F262" s="5">
        <v>0</v>
      </c>
      <c r="H262" s="416"/>
    </row>
    <row r="263" spans="1:8">
      <c r="A263" s="11">
        <v>2.31027</v>
      </c>
      <c r="B263" t="s">
        <v>215</v>
      </c>
      <c r="E263" s="5" t="s">
        <v>30</v>
      </c>
      <c r="F263" s="5">
        <v>0</v>
      </c>
      <c r="H263" s="416"/>
    </row>
    <row r="264" spans="1:8">
      <c r="A264" s="8">
        <v>2.33</v>
      </c>
      <c r="B264" t="s">
        <v>150</v>
      </c>
      <c r="D264">
        <v>13.9</v>
      </c>
      <c r="E264" s="5" t="s">
        <v>30</v>
      </c>
      <c r="F264" s="5">
        <v>0</v>
      </c>
      <c r="H264" s="416"/>
    </row>
    <row r="265" spans="1:8">
      <c r="A265" s="9">
        <v>2.331</v>
      </c>
      <c r="B265" t="s">
        <v>151</v>
      </c>
      <c r="E265" s="5" t="s">
        <v>30</v>
      </c>
      <c r="F265" s="5">
        <v>0</v>
      </c>
      <c r="H265" s="416"/>
    </row>
    <row r="266" spans="1:8">
      <c r="A266" s="9">
        <v>2.3319999999999999</v>
      </c>
      <c r="B266" t="s">
        <v>152</v>
      </c>
      <c r="D266">
        <v>13.9</v>
      </c>
      <c r="E266" s="5" t="s">
        <v>30</v>
      </c>
      <c r="F266" s="5">
        <v>0</v>
      </c>
      <c r="H266" s="416"/>
    </row>
    <row r="267" spans="1:8">
      <c r="A267" s="10">
        <v>2.3321000000000001</v>
      </c>
      <c r="B267" t="s">
        <v>216</v>
      </c>
      <c r="D267">
        <v>7</v>
      </c>
      <c r="E267" s="5" t="s">
        <v>30</v>
      </c>
      <c r="F267" s="5">
        <v>0</v>
      </c>
      <c r="H267" s="416"/>
    </row>
    <row r="268" spans="1:8">
      <c r="A268" s="10">
        <v>2.3323</v>
      </c>
      <c r="B268" t="s">
        <v>217</v>
      </c>
      <c r="D268">
        <v>7</v>
      </c>
      <c r="E268" s="5" t="s">
        <v>30</v>
      </c>
      <c r="F268" s="5">
        <v>0</v>
      </c>
      <c r="H268" s="416"/>
    </row>
    <row r="269" spans="1:8">
      <c r="A269" s="8">
        <v>2.34</v>
      </c>
      <c r="B269" t="s">
        <v>153</v>
      </c>
      <c r="D269">
        <v>16.5</v>
      </c>
      <c r="E269" s="5" t="s">
        <v>30</v>
      </c>
      <c r="F269" s="5">
        <v>0</v>
      </c>
      <c r="H269" s="416"/>
    </row>
    <row r="270" spans="1:8">
      <c r="A270" s="9">
        <v>2.3410000000000002</v>
      </c>
      <c r="B270" t="s">
        <v>154</v>
      </c>
      <c r="D270">
        <v>16.5</v>
      </c>
      <c r="E270" s="5" t="s">
        <v>30</v>
      </c>
      <c r="F270" s="5">
        <v>0</v>
      </c>
      <c r="H270" s="416"/>
    </row>
    <row r="271" spans="1:8">
      <c r="A271" s="10">
        <v>2.3411</v>
      </c>
      <c r="B271" t="s">
        <v>218</v>
      </c>
      <c r="D271">
        <v>5.4</v>
      </c>
      <c r="E271" s="5" t="s">
        <v>30</v>
      </c>
      <c r="F271" s="5">
        <v>2</v>
      </c>
      <c r="H271" s="416"/>
    </row>
    <row r="272" spans="1:8">
      <c r="A272" s="10">
        <v>2.3414000000000001</v>
      </c>
      <c r="B272" t="s">
        <v>219</v>
      </c>
      <c r="D272">
        <v>11.1</v>
      </c>
      <c r="E272" s="5" t="s">
        <v>30</v>
      </c>
      <c r="F272" s="5">
        <v>2</v>
      </c>
      <c r="H272" s="416"/>
    </row>
    <row r="273" spans="1:8">
      <c r="A273" s="9">
        <v>2.3420000000000001</v>
      </c>
      <c r="B273" t="s">
        <v>155</v>
      </c>
      <c r="E273" s="5" t="s">
        <v>30</v>
      </c>
      <c r="F273" s="5">
        <v>0</v>
      </c>
      <c r="H273" s="416"/>
    </row>
    <row r="274" spans="1:8">
      <c r="A274" s="8">
        <v>2.35</v>
      </c>
      <c r="B274" t="s">
        <v>156</v>
      </c>
      <c r="E274" s="5" t="s">
        <v>30</v>
      </c>
      <c r="F274" s="5">
        <v>0</v>
      </c>
      <c r="H274" s="416"/>
    </row>
    <row r="275" spans="1:8">
      <c r="A275" s="9">
        <v>2.3519999999999999</v>
      </c>
      <c r="B275" t="s">
        <v>157</v>
      </c>
      <c r="E275" s="5" t="s">
        <v>30</v>
      </c>
      <c r="F275" s="5">
        <v>0</v>
      </c>
      <c r="H275" s="416"/>
    </row>
    <row r="276" spans="1:8">
      <c r="A276" s="7">
        <v>2.4</v>
      </c>
      <c r="B276" t="s">
        <v>158</v>
      </c>
      <c r="D276">
        <v>151.30000000000001</v>
      </c>
      <c r="E276" s="5" t="s">
        <v>30</v>
      </c>
      <c r="F276" s="5">
        <v>0</v>
      </c>
      <c r="H276" s="416"/>
    </row>
    <row r="277" spans="1:8">
      <c r="A277" s="8">
        <v>2.41</v>
      </c>
      <c r="B277" t="s">
        <v>159</v>
      </c>
      <c r="D277">
        <v>55.9</v>
      </c>
      <c r="E277" s="5" t="s">
        <v>30</v>
      </c>
      <c r="F277" s="5">
        <v>0</v>
      </c>
      <c r="H277" s="416"/>
    </row>
    <row r="278" spans="1:8">
      <c r="A278" s="9">
        <v>2.411</v>
      </c>
      <c r="B278" t="s">
        <v>220</v>
      </c>
      <c r="D278">
        <v>23.2</v>
      </c>
      <c r="E278" s="5" t="s">
        <v>30</v>
      </c>
      <c r="F278" s="5">
        <v>0</v>
      </c>
      <c r="H278" s="416"/>
    </row>
    <row r="279" spans="1:8">
      <c r="A279" s="9">
        <v>2.415</v>
      </c>
      <c r="B279" t="s">
        <v>221</v>
      </c>
      <c r="E279" s="5" t="s">
        <v>30</v>
      </c>
      <c r="F279" s="5">
        <v>0</v>
      </c>
      <c r="H279" s="416"/>
    </row>
    <row r="280" spans="1:8">
      <c r="A280" s="9">
        <v>2.4159999999999999</v>
      </c>
      <c r="B280" t="s">
        <v>222</v>
      </c>
      <c r="D280">
        <v>32.700000000000003</v>
      </c>
      <c r="E280" s="5" t="s">
        <v>30</v>
      </c>
      <c r="F280" s="5">
        <v>0</v>
      </c>
      <c r="H280" s="416"/>
    </row>
    <row r="281" spans="1:8">
      <c r="A281" s="8">
        <v>2.42</v>
      </c>
      <c r="B281" t="s">
        <v>160</v>
      </c>
      <c r="D281">
        <v>72.5</v>
      </c>
      <c r="E281" s="5" t="s">
        <v>30</v>
      </c>
      <c r="F281" s="5">
        <v>0</v>
      </c>
      <c r="H281" s="416"/>
    </row>
    <row r="282" spans="1:8">
      <c r="A282" s="9">
        <v>2.4209999999999998</v>
      </c>
      <c r="B282" t="s">
        <v>223</v>
      </c>
      <c r="D282">
        <v>72.5</v>
      </c>
      <c r="E282" s="5" t="s">
        <v>30</v>
      </c>
      <c r="F282" s="5">
        <v>0</v>
      </c>
      <c r="H282" s="416"/>
    </row>
    <row r="283" spans="1:8">
      <c r="A283" s="9">
        <v>2.4239999999999999</v>
      </c>
      <c r="B283" t="s">
        <v>224</v>
      </c>
      <c r="E283" s="5" t="s">
        <v>30</v>
      </c>
      <c r="F283" s="5">
        <v>0</v>
      </c>
      <c r="H283" s="416"/>
    </row>
    <row r="284" spans="1:8">
      <c r="A284" s="8">
        <v>2.44</v>
      </c>
      <c r="B284" t="s">
        <v>161</v>
      </c>
      <c r="D284">
        <v>13.9</v>
      </c>
      <c r="E284" s="5" t="s">
        <v>30</v>
      </c>
      <c r="F284" s="5">
        <v>0</v>
      </c>
      <c r="H284" s="416"/>
    </row>
    <row r="285" spans="1:8">
      <c r="A285" s="9">
        <v>2.4420000000000002</v>
      </c>
      <c r="B285" t="s">
        <v>225</v>
      </c>
      <c r="D285">
        <v>13.9</v>
      </c>
      <c r="E285" s="5" t="s">
        <v>30</v>
      </c>
      <c r="F285" s="5">
        <v>0</v>
      </c>
      <c r="H285" s="416"/>
    </row>
    <row r="286" spans="1:8">
      <c r="A286" s="8">
        <v>2.46</v>
      </c>
      <c r="B286" t="s">
        <v>162</v>
      </c>
      <c r="D286">
        <v>9</v>
      </c>
      <c r="E286" s="5" t="s">
        <v>30</v>
      </c>
      <c r="F286" s="5">
        <v>0</v>
      </c>
      <c r="H286" s="416"/>
    </row>
    <row r="287" spans="1:8">
      <c r="A287" s="9">
        <v>2.4609999999999999</v>
      </c>
      <c r="B287" t="s">
        <v>226</v>
      </c>
      <c r="D287">
        <v>9</v>
      </c>
      <c r="E287" s="5" t="s">
        <v>30</v>
      </c>
      <c r="F287" s="5">
        <v>0</v>
      </c>
      <c r="H287" s="416"/>
    </row>
    <row r="288" spans="1:8">
      <c r="A288" s="8">
        <v>2.4700000000000002</v>
      </c>
      <c r="B288" t="s">
        <v>163</v>
      </c>
      <c r="E288" s="5" t="s">
        <v>30</v>
      </c>
      <c r="F288" s="5">
        <v>0</v>
      </c>
      <c r="H288" s="416"/>
    </row>
    <row r="289" spans="1:8">
      <c r="A289" s="8">
        <v>2.48</v>
      </c>
      <c r="B289" t="s">
        <v>164</v>
      </c>
      <c r="E289" s="5" t="s">
        <v>30</v>
      </c>
      <c r="F289" s="5">
        <v>0</v>
      </c>
      <c r="H289" s="416"/>
    </row>
    <row r="290" spans="1:8">
      <c r="A290" s="7">
        <v>2.5</v>
      </c>
      <c r="B290" t="s">
        <v>165</v>
      </c>
      <c r="D290">
        <v>45.7</v>
      </c>
      <c r="E290" s="5" t="s">
        <v>30</v>
      </c>
      <c r="F290" s="5">
        <v>0</v>
      </c>
      <c r="H290" s="416"/>
    </row>
    <row r="291" spans="1:8">
      <c r="A291" s="8">
        <v>2.5099999999999998</v>
      </c>
      <c r="B291" t="s">
        <v>166</v>
      </c>
      <c r="D291">
        <v>25.6</v>
      </c>
      <c r="E291" s="5" t="s">
        <v>30</v>
      </c>
      <c r="F291" s="5">
        <v>0</v>
      </c>
      <c r="H291" s="416"/>
    </row>
    <row r="292" spans="1:8">
      <c r="A292" s="9">
        <v>2.5110000000000001</v>
      </c>
      <c r="B292" t="s">
        <v>227</v>
      </c>
      <c r="D292">
        <v>7.8</v>
      </c>
      <c r="E292" s="5" t="s">
        <v>30</v>
      </c>
      <c r="F292" s="5">
        <v>0</v>
      </c>
      <c r="H292" s="416"/>
    </row>
    <row r="293" spans="1:8">
      <c r="A293" s="9">
        <v>2.512</v>
      </c>
      <c r="B293" t="s">
        <v>228</v>
      </c>
      <c r="D293">
        <v>3.2</v>
      </c>
      <c r="E293" s="5" t="s">
        <v>30</v>
      </c>
      <c r="F293" s="5">
        <v>0</v>
      </c>
      <c r="H293" s="416"/>
    </row>
    <row r="294" spans="1:8">
      <c r="A294" s="9">
        <v>2.5129999999999999</v>
      </c>
      <c r="B294" t="s">
        <v>229</v>
      </c>
      <c r="D294">
        <v>14.5</v>
      </c>
      <c r="E294" s="5" t="s">
        <v>30</v>
      </c>
      <c r="F294" s="5">
        <v>0</v>
      </c>
      <c r="H294" s="416"/>
    </row>
    <row r="295" spans="1:8">
      <c r="A295" s="8">
        <v>2.52</v>
      </c>
      <c r="B295" t="s">
        <v>167</v>
      </c>
      <c r="D295">
        <v>12.3</v>
      </c>
      <c r="E295" s="5" t="s">
        <v>30</v>
      </c>
      <c r="F295" s="5">
        <v>0</v>
      </c>
      <c r="H295" s="416"/>
    </row>
    <row r="296" spans="1:8">
      <c r="A296" s="9">
        <v>2.5209999999999999</v>
      </c>
      <c r="B296" t="s">
        <v>230</v>
      </c>
      <c r="D296">
        <v>3.9</v>
      </c>
      <c r="E296" s="5" t="s">
        <v>30</v>
      </c>
      <c r="F296" s="5">
        <v>0</v>
      </c>
      <c r="H296" s="416"/>
    </row>
    <row r="297" spans="1:8">
      <c r="A297" s="9">
        <v>2.5219999999999998</v>
      </c>
      <c r="B297" t="s">
        <v>231</v>
      </c>
      <c r="D297">
        <v>6.5</v>
      </c>
      <c r="E297" s="5" t="s">
        <v>30</v>
      </c>
      <c r="F297" s="5">
        <v>0</v>
      </c>
      <c r="H297" s="416"/>
    </row>
    <row r="298" spans="1:8">
      <c r="A298" s="9">
        <v>2.5230000000000001</v>
      </c>
      <c r="B298" t="s">
        <v>232</v>
      </c>
      <c r="D298">
        <v>1.9</v>
      </c>
      <c r="E298" s="5" t="s">
        <v>30</v>
      </c>
      <c r="F298" s="5">
        <v>0</v>
      </c>
      <c r="H298" s="416"/>
    </row>
    <row r="299" spans="1:8">
      <c r="A299" s="8">
        <v>2.5499999999999998</v>
      </c>
      <c r="B299" t="s">
        <v>168</v>
      </c>
      <c r="D299">
        <v>2.9</v>
      </c>
      <c r="E299" s="5" t="s">
        <v>30</v>
      </c>
      <c r="F299" s="5">
        <v>0</v>
      </c>
      <c r="H299" s="416"/>
    </row>
    <row r="300" spans="1:8">
      <c r="A300" s="9">
        <v>2.5510000000000002</v>
      </c>
      <c r="B300" t="s">
        <v>233</v>
      </c>
      <c r="D300">
        <v>2.9</v>
      </c>
      <c r="E300" s="5" t="s">
        <v>30</v>
      </c>
      <c r="F300" s="5">
        <v>0</v>
      </c>
      <c r="H300" s="416"/>
    </row>
    <row r="301" spans="1:8">
      <c r="A301" s="8">
        <v>2.56</v>
      </c>
      <c r="B301" t="s">
        <v>169</v>
      </c>
      <c r="D301">
        <v>2.7</v>
      </c>
      <c r="E301" s="5" t="s">
        <v>30</v>
      </c>
      <c r="F301" s="5">
        <v>0</v>
      </c>
      <c r="H301" s="416"/>
    </row>
    <row r="302" spans="1:8">
      <c r="A302" s="8">
        <v>2.57</v>
      </c>
      <c r="B302" t="s">
        <v>170</v>
      </c>
      <c r="D302">
        <v>2.2000000000000002</v>
      </c>
      <c r="E302" s="5" t="s">
        <v>30</v>
      </c>
      <c r="F302" s="5">
        <v>0</v>
      </c>
      <c r="H302" s="416"/>
    </row>
    <row r="303" spans="1:8">
      <c r="A303" s="7">
        <v>2.6</v>
      </c>
      <c r="B303" t="s">
        <v>171</v>
      </c>
      <c r="D303">
        <v>102.9</v>
      </c>
      <c r="E303" s="5" t="s">
        <v>30</v>
      </c>
      <c r="F303" s="5">
        <v>0</v>
      </c>
      <c r="H303" s="416"/>
    </row>
    <row r="304" spans="1:8">
      <c r="A304" s="8">
        <v>2.61</v>
      </c>
      <c r="B304" t="s">
        <v>172</v>
      </c>
      <c r="D304">
        <v>27.2</v>
      </c>
      <c r="E304" s="5" t="s">
        <v>30</v>
      </c>
      <c r="F304" s="5">
        <v>0</v>
      </c>
      <c r="H304" s="416"/>
    </row>
    <row r="305" spans="1:8">
      <c r="A305" s="8">
        <v>2.62</v>
      </c>
      <c r="B305" t="s">
        <v>173</v>
      </c>
      <c r="D305">
        <v>36.4</v>
      </c>
      <c r="E305" s="5" t="s">
        <v>30</v>
      </c>
      <c r="F305" s="5">
        <v>0</v>
      </c>
      <c r="H305" s="416"/>
    </row>
    <row r="306" spans="1:8">
      <c r="A306" s="9">
        <v>2.621</v>
      </c>
      <c r="B306" t="s">
        <v>234</v>
      </c>
      <c r="D306">
        <v>36.4</v>
      </c>
      <c r="E306" s="5" t="s">
        <v>30</v>
      </c>
      <c r="F306" s="5">
        <v>0</v>
      </c>
      <c r="H306" s="416"/>
    </row>
    <row r="307" spans="1:8">
      <c r="A307" s="8">
        <v>2.63</v>
      </c>
      <c r="B307" t="s">
        <v>174</v>
      </c>
      <c r="D307">
        <v>39.200000000000003</v>
      </c>
      <c r="E307" s="5" t="s">
        <v>30</v>
      </c>
      <c r="F307" s="5">
        <v>0</v>
      </c>
      <c r="H307" s="416"/>
    </row>
    <row r="308" spans="1:8">
      <c r="A308" s="7">
        <v>2.7</v>
      </c>
      <c r="B308" t="s">
        <v>175</v>
      </c>
      <c r="D308">
        <v>1.9</v>
      </c>
      <c r="E308" s="5" t="s">
        <v>30</v>
      </c>
      <c r="F308" s="5">
        <v>0</v>
      </c>
      <c r="H308" s="416"/>
    </row>
    <row r="309" spans="1:8">
      <c r="A309" s="9">
        <v>2.71</v>
      </c>
      <c r="B309" t="s">
        <v>176</v>
      </c>
      <c r="D309">
        <v>1.9</v>
      </c>
      <c r="E309" s="5" t="s">
        <v>30</v>
      </c>
      <c r="F309" s="5">
        <v>0</v>
      </c>
      <c r="H309" s="416"/>
    </row>
    <row r="310" spans="1:8">
      <c r="A310" s="3"/>
      <c r="H310" s="417"/>
    </row>
    <row r="311" spans="1:8">
      <c r="A311" s="1">
        <v>3</v>
      </c>
      <c r="B311" t="s">
        <v>293</v>
      </c>
      <c r="C311">
        <v>2545.6</v>
      </c>
      <c r="D311" s="5">
        <v>2828.3</v>
      </c>
      <c r="E311" s="5" t="s">
        <v>28</v>
      </c>
      <c r="F311" s="5">
        <v>0</v>
      </c>
      <c r="H311" s="416"/>
    </row>
    <row r="312" spans="1:8">
      <c r="A312" s="1"/>
      <c r="D312">
        <v>454.3</v>
      </c>
      <c r="E312" s="5" t="s">
        <v>29</v>
      </c>
      <c r="H312" s="416"/>
    </row>
    <row r="313" spans="1:8">
      <c r="A313" s="1"/>
      <c r="D313">
        <v>2374</v>
      </c>
      <c r="E313" s="5" t="s">
        <v>30</v>
      </c>
      <c r="H313" s="416"/>
    </row>
    <row r="314" spans="1:8">
      <c r="A314" s="7">
        <v>3.1</v>
      </c>
      <c r="B314" t="s">
        <v>236</v>
      </c>
      <c r="D314">
        <v>105.4</v>
      </c>
      <c r="E314" s="5" t="s">
        <v>30</v>
      </c>
      <c r="F314" s="5">
        <v>0</v>
      </c>
      <c r="H314" s="416"/>
    </row>
    <row r="315" spans="1:8">
      <c r="A315" s="8">
        <v>3.11</v>
      </c>
      <c r="B315" t="s">
        <v>237</v>
      </c>
      <c r="D315">
        <v>105.4</v>
      </c>
      <c r="E315" s="5" t="s">
        <v>30</v>
      </c>
      <c r="F315" s="5">
        <v>0</v>
      </c>
      <c r="H315" s="416"/>
    </row>
    <row r="316" spans="1:8">
      <c r="A316" s="8">
        <v>3.12</v>
      </c>
      <c r="B316" t="s">
        <v>238</v>
      </c>
      <c r="E316" s="5" t="s">
        <v>30</v>
      </c>
      <c r="F316" s="5">
        <v>0</v>
      </c>
      <c r="H316" s="416"/>
    </row>
    <row r="317" spans="1:8">
      <c r="A317" s="8">
        <v>3.15</v>
      </c>
      <c r="B317" t="s">
        <v>239</v>
      </c>
      <c r="E317" s="5" t="s">
        <v>30</v>
      </c>
      <c r="F317" s="5">
        <v>0</v>
      </c>
      <c r="H317" s="416"/>
    </row>
    <row r="318" spans="1:8">
      <c r="A318" s="7">
        <v>3.2</v>
      </c>
      <c r="B318" t="s">
        <v>240</v>
      </c>
      <c r="D318">
        <v>96.2</v>
      </c>
      <c r="E318" s="5" t="s">
        <v>30</v>
      </c>
      <c r="F318" s="5">
        <v>0</v>
      </c>
      <c r="H318" s="416"/>
    </row>
    <row r="319" spans="1:8">
      <c r="A319" s="8">
        <v>3.21</v>
      </c>
      <c r="B319" t="s">
        <v>241</v>
      </c>
      <c r="E319" s="5" t="s">
        <v>30</v>
      </c>
      <c r="F319" s="5">
        <v>0</v>
      </c>
      <c r="H319" s="416"/>
    </row>
    <row r="320" spans="1:8">
      <c r="A320" s="8">
        <v>3.22</v>
      </c>
      <c r="B320" t="s">
        <v>242</v>
      </c>
      <c r="D320">
        <v>55.2</v>
      </c>
      <c r="E320" s="5" t="s">
        <v>30</v>
      </c>
      <c r="F320" s="5">
        <v>0</v>
      </c>
      <c r="H320" s="416"/>
    </row>
    <row r="321" spans="1:8">
      <c r="A321" s="8">
        <v>3.25</v>
      </c>
      <c r="B321" t="s">
        <v>243</v>
      </c>
      <c r="D321">
        <v>40.9</v>
      </c>
      <c r="E321" s="5" t="s">
        <v>30</v>
      </c>
      <c r="F321" s="5">
        <v>0</v>
      </c>
      <c r="H321" s="416"/>
    </row>
    <row r="322" spans="1:8">
      <c r="A322" s="7">
        <v>3.3</v>
      </c>
      <c r="B322" t="s">
        <v>244</v>
      </c>
      <c r="D322">
        <v>184.9</v>
      </c>
      <c r="E322" s="5" t="s">
        <v>30</v>
      </c>
      <c r="F322" s="5">
        <v>0</v>
      </c>
      <c r="H322" s="416"/>
    </row>
    <row r="323" spans="1:8">
      <c r="A323" s="9">
        <v>3.3010000000000002</v>
      </c>
      <c r="B323" t="s">
        <v>245</v>
      </c>
      <c r="D323">
        <v>22</v>
      </c>
      <c r="E323" s="5" t="s">
        <v>30</v>
      </c>
      <c r="F323" s="5">
        <v>0</v>
      </c>
      <c r="H323" s="416"/>
    </row>
    <row r="324" spans="1:8">
      <c r="A324" s="9">
        <v>3.302</v>
      </c>
      <c r="B324" t="s">
        <v>246</v>
      </c>
      <c r="D324">
        <v>50.5</v>
      </c>
      <c r="E324" s="5" t="s">
        <v>30</v>
      </c>
      <c r="F324" s="5">
        <v>0</v>
      </c>
      <c r="H324" s="416"/>
    </row>
    <row r="325" spans="1:8">
      <c r="A325" s="9">
        <v>3.3029999999999999</v>
      </c>
      <c r="B325" t="s">
        <v>247</v>
      </c>
      <c r="D325">
        <v>31</v>
      </c>
      <c r="E325" s="5" t="s">
        <v>30</v>
      </c>
      <c r="F325" s="5">
        <v>0</v>
      </c>
      <c r="H325" s="416"/>
    </row>
    <row r="326" spans="1:8">
      <c r="A326" s="9">
        <v>3.3039999999999998</v>
      </c>
      <c r="B326" t="s">
        <v>248</v>
      </c>
      <c r="D326">
        <v>44.4</v>
      </c>
      <c r="E326" s="5" t="s">
        <v>30</v>
      </c>
      <c r="F326" s="5">
        <v>0</v>
      </c>
      <c r="H326" s="416"/>
    </row>
    <row r="327" spans="1:8">
      <c r="A327" s="9">
        <v>3.3050000000000002</v>
      </c>
      <c r="B327" t="s">
        <v>249</v>
      </c>
      <c r="D327">
        <v>13.4</v>
      </c>
      <c r="E327" s="5" t="s">
        <v>30</v>
      </c>
      <c r="F327" s="5">
        <v>0</v>
      </c>
      <c r="H327" s="416"/>
    </row>
    <row r="328" spans="1:8">
      <c r="A328" s="9">
        <v>3.306</v>
      </c>
      <c r="B328" t="s">
        <v>250</v>
      </c>
      <c r="D328">
        <v>23.6</v>
      </c>
      <c r="E328" s="5" t="s">
        <v>30</v>
      </c>
      <c r="F328" s="5">
        <v>0</v>
      </c>
      <c r="H328" s="416"/>
    </row>
    <row r="329" spans="1:8">
      <c r="A329" s="9">
        <v>3.3069999999999999</v>
      </c>
      <c r="B329" t="s">
        <v>251</v>
      </c>
      <c r="E329" s="5" t="s">
        <v>30</v>
      </c>
      <c r="F329" s="5">
        <v>0</v>
      </c>
      <c r="H329" s="416"/>
    </row>
    <row r="330" spans="1:8">
      <c r="A330" s="9">
        <v>3.3079999999999998</v>
      </c>
      <c r="B330" t="s">
        <v>252</v>
      </c>
      <c r="E330" s="5" t="s">
        <v>30</v>
      </c>
      <c r="F330" s="5">
        <v>0</v>
      </c>
      <c r="H330" s="416"/>
    </row>
    <row r="331" spans="1:8">
      <c r="A331" s="9">
        <v>3.3090000000000002</v>
      </c>
      <c r="B331" t="s">
        <v>253</v>
      </c>
      <c r="E331" s="5" t="s">
        <v>30</v>
      </c>
      <c r="F331" s="5">
        <v>0</v>
      </c>
      <c r="H331" s="416"/>
    </row>
    <row r="332" spans="1:8">
      <c r="A332" s="8">
        <v>3.31</v>
      </c>
      <c r="B332" t="s">
        <v>254</v>
      </c>
      <c r="E332" s="5" t="s">
        <v>30</v>
      </c>
      <c r="F332" s="5">
        <v>0</v>
      </c>
      <c r="H332" s="416"/>
    </row>
    <row r="333" spans="1:8">
      <c r="A333" s="7">
        <v>3.5</v>
      </c>
      <c r="B333" t="s">
        <v>255</v>
      </c>
      <c r="D333">
        <v>33.200000000000003</v>
      </c>
      <c r="E333" s="5" t="s">
        <v>29</v>
      </c>
      <c r="F333" s="5">
        <v>0</v>
      </c>
      <c r="H333" s="416"/>
    </row>
    <row r="334" spans="1:8">
      <c r="A334" s="1"/>
      <c r="D334">
        <v>66.3</v>
      </c>
      <c r="E334" s="5" t="s">
        <v>30</v>
      </c>
      <c r="H334" s="416"/>
    </row>
    <row r="335" spans="1:8">
      <c r="A335" s="8">
        <v>3.51</v>
      </c>
      <c r="B335" t="s">
        <v>256</v>
      </c>
      <c r="D335">
        <v>58.4</v>
      </c>
      <c r="E335" s="5" t="s">
        <v>30</v>
      </c>
      <c r="F335" s="5">
        <v>0</v>
      </c>
      <c r="H335" s="416"/>
    </row>
    <row r="336" spans="1:8">
      <c r="A336" s="8">
        <v>3.52</v>
      </c>
      <c r="B336" t="s">
        <v>257</v>
      </c>
      <c r="E336" s="5" t="s">
        <v>30</v>
      </c>
      <c r="F336" s="5">
        <v>0</v>
      </c>
      <c r="H336" s="416"/>
    </row>
    <row r="337" spans="1:8">
      <c r="A337" s="8">
        <v>3.53</v>
      </c>
      <c r="B337" t="s">
        <v>258</v>
      </c>
      <c r="D337">
        <v>33.200000000000003</v>
      </c>
      <c r="E337" s="5" t="s">
        <v>29</v>
      </c>
      <c r="F337" s="5">
        <v>0</v>
      </c>
      <c r="H337" s="416"/>
    </row>
    <row r="338" spans="1:8">
      <c r="A338" s="1"/>
      <c r="D338">
        <v>7.9</v>
      </c>
      <c r="E338" s="5" t="s">
        <v>30</v>
      </c>
      <c r="H338" s="416"/>
    </row>
    <row r="339" spans="1:8">
      <c r="A339" s="8">
        <v>3.54</v>
      </c>
      <c r="B339" t="s">
        <v>259</v>
      </c>
      <c r="E339" s="5" t="s">
        <v>30</v>
      </c>
      <c r="F339" s="5">
        <v>0</v>
      </c>
      <c r="H339" s="416"/>
    </row>
    <row r="340" spans="1:8">
      <c r="A340" s="7">
        <v>3.6</v>
      </c>
      <c r="B340" t="s">
        <v>260</v>
      </c>
      <c r="D340">
        <v>219.1</v>
      </c>
      <c r="E340" s="5" t="s">
        <v>30</v>
      </c>
      <c r="F340" s="5">
        <v>0</v>
      </c>
      <c r="H340" s="416"/>
    </row>
    <row r="341" spans="1:8">
      <c r="A341" s="7">
        <v>3.61</v>
      </c>
      <c r="B341" t="s">
        <v>247</v>
      </c>
      <c r="D341">
        <v>158</v>
      </c>
      <c r="E341" s="5" t="s">
        <v>30</v>
      </c>
      <c r="F341" s="5">
        <v>0</v>
      </c>
      <c r="H341" s="416"/>
    </row>
    <row r="342" spans="1:8">
      <c r="A342" s="9">
        <v>3.6110000000000002</v>
      </c>
      <c r="B342" t="s">
        <v>261</v>
      </c>
      <c r="D342">
        <v>22.2</v>
      </c>
      <c r="E342" s="5" t="s">
        <v>30</v>
      </c>
      <c r="F342" s="5">
        <v>0</v>
      </c>
      <c r="H342" s="416"/>
    </row>
    <row r="343" spans="1:8">
      <c r="A343" s="9">
        <v>3.6120000000000001</v>
      </c>
      <c r="B343" t="s">
        <v>262</v>
      </c>
      <c r="D343">
        <v>52.2</v>
      </c>
      <c r="E343" s="5" t="s">
        <v>30</v>
      </c>
      <c r="F343" s="5">
        <v>0</v>
      </c>
      <c r="H343" s="416"/>
    </row>
    <row r="344" spans="1:8">
      <c r="A344" s="9">
        <v>3.613</v>
      </c>
      <c r="B344" t="s">
        <v>263</v>
      </c>
      <c r="D344">
        <v>73.400000000000006</v>
      </c>
      <c r="E344" s="5" t="s">
        <v>30</v>
      </c>
      <c r="F344" s="5">
        <v>0</v>
      </c>
      <c r="H344" s="416"/>
    </row>
    <row r="345" spans="1:8">
      <c r="A345" s="9">
        <v>3.6139999999999999</v>
      </c>
      <c r="B345" t="s">
        <v>264</v>
      </c>
      <c r="D345">
        <v>10.1</v>
      </c>
      <c r="E345" s="5" t="s">
        <v>30</v>
      </c>
      <c r="F345" s="5">
        <v>0</v>
      </c>
      <c r="H345" s="416"/>
    </row>
    <row r="346" spans="1:8">
      <c r="A346" s="8">
        <v>3.62</v>
      </c>
      <c r="B346" t="s">
        <v>265</v>
      </c>
      <c r="D346">
        <v>49</v>
      </c>
      <c r="E346" s="5" t="s">
        <v>30</v>
      </c>
      <c r="F346" s="5">
        <v>0</v>
      </c>
      <c r="H346" s="416"/>
    </row>
    <row r="347" spans="1:8">
      <c r="A347" s="8">
        <v>3.63</v>
      </c>
      <c r="B347" t="s">
        <v>266</v>
      </c>
      <c r="D347">
        <v>12.1</v>
      </c>
      <c r="E347" s="5" t="s">
        <v>30</v>
      </c>
      <c r="F347" s="5">
        <v>0</v>
      </c>
      <c r="H347" s="416"/>
    </row>
    <row r="348" spans="1:8">
      <c r="A348" s="8">
        <v>3.64</v>
      </c>
      <c r="B348" t="s">
        <v>267</v>
      </c>
      <c r="E348" s="5" t="s">
        <v>30</v>
      </c>
      <c r="F348" s="5">
        <v>0</v>
      </c>
      <c r="H348" s="416"/>
    </row>
    <row r="349" spans="1:8">
      <c r="A349" s="7">
        <v>3.7</v>
      </c>
      <c r="B349" t="s">
        <v>80</v>
      </c>
      <c r="D349">
        <v>556</v>
      </c>
      <c r="E349" s="5" t="s">
        <v>30</v>
      </c>
      <c r="F349" s="5">
        <v>0</v>
      </c>
      <c r="H349" s="416"/>
    </row>
    <row r="350" spans="1:8">
      <c r="A350" s="8">
        <v>3.71</v>
      </c>
      <c r="B350" t="s">
        <v>248</v>
      </c>
      <c r="D350">
        <v>396.5</v>
      </c>
      <c r="E350" s="5" t="s">
        <v>30</v>
      </c>
      <c r="F350" s="5">
        <v>0</v>
      </c>
      <c r="H350" s="416"/>
    </row>
    <row r="351" spans="1:8">
      <c r="A351" s="9">
        <v>3.7109999999999999</v>
      </c>
      <c r="B351" t="s">
        <v>268</v>
      </c>
      <c r="D351">
        <v>43.7</v>
      </c>
      <c r="E351" s="5" t="s">
        <v>30</v>
      </c>
      <c r="F351" s="5">
        <v>0</v>
      </c>
      <c r="H351" s="416"/>
    </row>
    <row r="352" spans="1:8">
      <c r="A352" s="9">
        <v>3.7120000000000002</v>
      </c>
      <c r="B352" t="s">
        <v>269</v>
      </c>
      <c r="D352">
        <v>13.6</v>
      </c>
      <c r="E352" s="5" t="s">
        <v>30</v>
      </c>
      <c r="F352" s="5">
        <v>0</v>
      </c>
      <c r="H352" s="416"/>
    </row>
    <row r="353" spans="1:8">
      <c r="A353" s="9">
        <v>3.7130000000000001</v>
      </c>
      <c r="B353" t="s">
        <v>270</v>
      </c>
      <c r="D353">
        <v>279.8</v>
      </c>
      <c r="E353" s="5" t="s">
        <v>30</v>
      </c>
      <c r="F353" s="5">
        <v>0</v>
      </c>
      <c r="H353" s="416"/>
    </row>
    <row r="354" spans="1:8">
      <c r="A354" s="9">
        <v>3.714</v>
      </c>
      <c r="B354" t="s">
        <v>271</v>
      </c>
      <c r="D354">
        <v>11.1</v>
      </c>
      <c r="E354" s="5" t="s">
        <v>30</v>
      </c>
      <c r="F354" s="5">
        <v>0</v>
      </c>
      <c r="H354" s="416"/>
    </row>
    <row r="355" spans="1:8">
      <c r="A355" s="9">
        <v>3.7149999999999999</v>
      </c>
      <c r="B355" t="s">
        <v>272</v>
      </c>
      <c r="D355">
        <v>48.1</v>
      </c>
      <c r="E355" s="5" t="s">
        <v>30</v>
      </c>
      <c r="F355" s="5">
        <v>0</v>
      </c>
      <c r="H355" s="416"/>
    </row>
    <row r="356" spans="1:8">
      <c r="A356" s="8">
        <v>3.72</v>
      </c>
      <c r="B356" t="s">
        <v>247</v>
      </c>
      <c r="D356">
        <v>9.1</v>
      </c>
      <c r="E356" s="5" t="s">
        <v>30</v>
      </c>
      <c r="F356" s="5">
        <v>0</v>
      </c>
      <c r="H356" s="416"/>
    </row>
    <row r="357" spans="1:8">
      <c r="A357" s="8">
        <v>3.73</v>
      </c>
      <c r="B357" t="s">
        <v>250</v>
      </c>
      <c r="D357">
        <v>12.8</v>
      </c>
      <c r="E357" s="5" t="s">
        <v>30</v>
      </c>
      <c r="F357" s="5">
        <v>0</v>
      </c>
      <c r="H357" s="416"/>
    </row>
    <row r="358" spans="1:8">
      <c r="A358" s="8">
        <v>3.74</v>
      </c>
      <c r="B358" t="s">
        <v>273</v>
      </c>
      <c r="D358">
        <v>113.7</v>
      </c>
      <c r="E358" s="5" t="s">
        <v>30</v>
      </c>
      <c r="F358" s="5">
        <v>0</v>
      </c>
      <c r="H358" s="416"/>
    </row>
    <row r="359" spans="1:8">
      <c r="A359" s="8">
        <v>3.75</v>
      </c>
      <c r="B359" t="s">
        <v>251</v>
      </c>
      <c r="D359">
        <v>8.1</v>
      </c>
      <c r="E359" s="5" t="s">
        <v>30</v>
      </c>
      <c r="F359" s="5">
        <v>0</v>
      </c>
      <c r="H359" s="416"/>
    </row>
    <row r="360" spans="1:8">
      <c r="A360" s="8">
        <v>3.76</v>
      </c>
      <c r="B360" t="s">
        <v>294</v>
      </c>
      <c r="D360">
        <v>9.5</v>
      </c>
      <c r="E360" s="5" t="s">
        <v>30</v>
      </c>
      <c r="F360" s="5">
        <v>0</v>
      </c>
      <c r="H360" s="416"/>
    </row>
    <row r="361" spans="1:8">
      <c r="A361" s="8">
        <v>3.78</v>
      </c>
      <c r="B361" t="s">
        <v>274</v>
      </c>
      <c r="D361">
        <v>6</v>
      </c>
      <c r="E361" s="5" t="s">
        <v>30</v>
      </c>
      <c r="F361" s="5">
        <v>0</v>
      </c>
      <c r="H361" s="416"/>
    </row>
    <row r="362" spans="1:8">
      <c r="A362" s="7">
        <v>3.8</v>
      </c>
      <c r="B362" t="s">
        <v>275</v>
      </c>
      <c r="D362">
        <v>421</v>
      </c>
      <c r="E362" s="5" t="s">
        <v>29</v>
      </c>
      <c r="F362" s="5">
        <v>0</v>
      </c>
      <c r="H362" s="416"/>
    </row>
    <row r="363" spans="1:8">
      <c r="A363" s="1"/>
      <c r="D363">
        <v>1126.4000000000001</v>
      </c>
      <c r="E363" s="5" t="s">
        <v>30</v>
      </c>
      <c r="H363" s="416"/>
    </row>
    <row r="364" spans="1:8">
      <c r="A364" s="8">
        <v>3.82</v>
      </c>
      <c r="B364" t="s">
        <v>276</v>
      </c>
      <c r="D364">
        <v>421</v>
      </c>
      <c r="E364" s="5" t="s">
        <v>29</v>
      </c>
      <c r="F364" s="5">
        <v>0</v>
      </c>
      <c r="H364" s="416"/>
    </row>
    <row r="365" spans="1:8">
      <c r="A365" s="1"/>
      <c r="D365">
        <v>1126.4000000000001</v>
      </c>
      <c r="E365" s="5" t="s">
        <v>30</v>
      </c>
      <c r="H365" s="416"/>
    </row>
    <row r="366" spans="1:8">
      <c r="A366" s="9">
        <v>3.8210000000000002</v>
      </c>
      <c r="B366" t="s">
        <v>277</v>
      </c>
      <c r="D366">
        <v>417.2</v>
      </c>
      <c r="E366" s="5" t="s">
        <v>29</v>
      </c>
      <c r="F366" s="5">
        <v>0</v>
      </c>
      <c r="H366" s="416"/>
    </row>
    <row r="367" spans="1:8">
      <c r="A367" s="9"/>
      <c r="D367">
        <v>1113.9000000000001</v>
      </c>
      <c r="E367" s="5" t="s">
        <v>30</v>
      </c>
      <c r="H367" s="416"/>
    </row>
    <row r="368" spans="1:8">
      <c r="A368" s="9">
        <v>3.8220000000000001</v>
      </c>
      <c r="B368" t="s">
        <v>278</v>
      </c>
      <c r="D368">
        <v>3.9</v>
      </c>
      <c r="E368" s="5" t="s">
        <v>29</v>
      </c>
      <c r="F368" s="5">
        <v>0</v>
      </c>
      <c r="H368" s="416"/>
    </row>
    <row r="369" spans="1:8">
      <c r="A369" s="1"/>
      <c r="D369">
        <v>12.5</v>
      </c>
      <c r="E369" s="5" t="s">
        <v>30</v>
      </c>
      <c r="H369" s="416"/>
    </row>
    <row r="370" spans="1:8">
      <c r="A370" s="7">
        <v>3.9</v>
      </c>
      <c r="B370" t="s">
        <v>279</v>
      </c>
      <c r="C370">
        <v>2545.6</v>
      </c>
      <c r="D370" s="6">
        <v>19.600000000000001</v>
      </c>
      <c r="E370" s="5" t="s">
        <v>30</v>
      </c>
      <c r="F370" s="5">
        <v>0</v>
      </c>
      <c r="H370" s="416"/>
    </row>
    <row r="371" spans="1:8">
      <c r="A371" s="8">
        <v>3.91</v>
      </c>
      <c r="B371" t="s">
        <v>280</v>
      </c>
      <c r="C371">
        <v>2155.1</v>
      </c>
      <c r="E371" s="5" t="s">
        <v>30</v>
      </c>
      <c r="F371" s="5">
        <v>0</v>
      </c>
      <c r="H371" s="416"/>
    </row>
    <row r="372" spans="1:8">
      <c r="A372" s="9">
        <v>3.911</v>
      </c>
      <c r="B372" t="s">
        <v>281</v>
      </c>
      <c r="C372">
        <v>2155.1</v>
      </c>
      <c r="E372" s="5" t="s">
        <v>30</v>
      </c>
      <c r="F372" s="5">
        <v>0</v>
      </c>
      <c r="H372" s="416"/>
    </row>
    <row r="373" spans="1:8">
      <c r="A373" s="10">
        <v>3.9110100000000001</v>
      </c>
      <c r="B373" t="s">
        <v>282</v>
      </c>
      <c r="C373">
        <v>1689</v>
      </c>
      <c r="E373" s="5" t="s">
        <v>30</v>
      </c>
      <c r="F373" s="5">
        <v>0</v>
      </c>
      <c r="H373" s="416"/>
    </row>
    <row r="374" spans="1:8">
      <c r="A374" s="10">
        <v>3.9110399999999998</v>
      </c>
      <c r="B374" t="s">
        <v>283</v>
      </c>
      <c r="C374">
        <v>466.2</v>
      </c>
      <c r="E374" s="5" t="s">
        <v>30</v>
      </c>
      <c r="F374" s="5">
        <v>0</v>
      </c>
      <c r="H374" s="416"/>
    </row>
    <row r="375" spans="1:8">
      <c r="A375" s="9">
        <v>3.9140000000000001</v>
      </c>
      <c r="B375" t="s">
        <v>284</v>
      </c>
      <c r="E375" s="5" t="s">
        <v>30</v>
      </c>
      <c r="F375" s="5">
        <v>0</v>
      </c>
      <c r="H375" s="416"/>
    </row>
    <row r="376" spans="1:8">
      <c r="A376" s="8">
        <v>3.92</v>
      </c>
      <c r="B376" t="s">
        <v>285</v>
      </c>
      <c r="E376" s="5" t="s">
        <v>30</v>
      </c>
      <c r="F376" s="5">
        <v>0</v>
      </c>
      <c r="H376" s="416"/>
    </row>
    <row r="377" spans="1:8">
      <c r="A377" s="8">
        <v>3.93</v>
      </c>
      <c r="B377" t="s">
        <v>286</v>
      </c>
      <c r="C377">
        <v>60.2</v>
      </c>
      <c r="E377" s="5" t="s">
        <v>30</v>
      </c>
      <c r="F377" s="5">
        <v>0</v>
      </c>
      <c r="H377" s="416"/>
    </row>
    <row r="378" spans="1:8">
      <c r="A378" s="8">
        <v>3.94</v>
      </c>
      <c r="B378" t="s">
        <v>287</v>
      </c>
      <c r="D378">
        <v>19.600000000000001</v>
      </c>
      <c r="E378" s="5" t="s">
        <v>30</v>
      </c>
      <c r="F378" s="5">
        <v>0</v>
      </c>
      <c r="H378" s="416"/>
    </row>
    <row r="379" spans="1:8">
      <c r="A379" s="9">
        <v>3.9409999999999998</v>
      </c>
      <c r="B379" t="s">
        <v>288</v>
      </c>
      <c r="D379">
        <v>7.4</v>
      </c>
      <c r="E379" s="5" t="s">
        <v>30</v>
      </c>
      <c r="F379" s="5">
        <v>0</v>
      </c>
      <c r="H379" s="416"/>
    </row>
    <row r="380" spans="1:8">
      <c r="A380" s="9">
        <v>3.9420000000000002</v>
      </c>
      <c r="B380" t="s">
        <v>289</v>
      </c>
      <c r="D380">
        <v>12.1</v>
      </c>
      <c r="E380" s="5" t="s">
        <v>30</v>
      </c>
      <c r="F380" s="5">
        <v>0</v>
      </c>
      <c r="H380" s="416"/>
    </row>
    <row r="381" spans="1:8">
      <c r="A381" s="7">
        <v>3.95</v>
      </c>
      <c r="B381" t="s">
        <v>290</v>
      </c>
      <c r="C381">
        <v>330.3</v>
      </c>
      <c r="E381" s="5" t="s">
        <v>30</v>
      </c>
      <c r="F381" s="5">
        <v>0</v>
      </c>
      <c r="H381" s="416"/>
    </row>
    <row r="382" spans="1:8">
      <c r="A382" s="7">
        <v>3.96</v>
      </c>
      <c r="B382" t="s">
        <v>291</v>
      </c>
      <c r="E382" s="5" t="s">
        <v>30</v>
      </c>
      <c r="F382" s="5">
        <v>0</v>
      </c>
      <c r="H382" s="416"/>
    </row>
    <row r="383" spans="1:8">
      <c r="A383" s="7">
        <v>3.97</v>
      </c>
      <c r="B383" t="s">
        <v>292</v>
      </c>
      <c r="E383" s="5" t="s">
        <v>30</v>
      </c>
      <c r="F383" s="5">
        <v>0</v>
      </c>
      <c r="H383" s="416"/>
    </row>
    <row r="384" spans="1:8">
      <c r="A384" s="3"/>
      <c r="H384" s="417"/>
    </row>
    <row r="385" spans="1:8">
      <c r="A385" s="1">
        <v>4</v>
      </c>
      <c r="B385" t="s">
        <v>318</v>
      </c>
      <c r="D385">
        <v>409.3</v>
      </c>
      <c r="E385" s="5" t="s">
        <v>28</v>
      </c>
      <c r="F385" s="5">
        <v>0</v>
      </c>
      <c r="H385" s="416"/>
    </row>
    <row r="386" spans="1:8">
      <c r="A386" s="1"/>
      <c r="D386">
        <v>518.70000000000005</v>
      </c>
      <c r="E386" s="5" t="s">
        <v>29</v>
      </c>
      <c r="H386" s="416"/>
    </row>
    <row r="387" spans="1:8">
      <c r="A387" s="1"/>
      <c r="D387">
        <v>-109.4</v>
      </c>
      <c r="E387" s="5" t="s">
        <v>30</v>
      </c>
      <c r="H387" s="416"/>
    </row>
    <row r="388" spans="1:8">
      <c r="A388" s="7">
        <v>4.0999999999999996</v>
      </c>
      <c r="B388" t="s">
        <v>295</v>
      </c>
      <c r="D388">
        <v>389</v>
      </c>
      <c r="E388" s="5" t="s">
        <v>29</v>
      </c>
      <c r="F388" s="5">
        <v>0</v>
      </c>
      <c r="H388" s="416"/>
    </row>
    <row r="389" spans="1:8">
      <c r="A389" s="1"/>
      <c r="D389">
        <v>247.4</v>
      </c>
      <c r="E389" s="5" t="s">
        <v>30</v>
      </c>
      <c r="H389" s="416"/>
    </row>
    <row r="390" spans="1:8">
      <c r="A390" s="8">
        <v>4.13</v>
      </c>
      <c r="B390" t="s">
        <v>296</v>
      </c>
      <c r="D390">
        <v>97.8</v>
      </c>
      <c r="E390" s="5" t="s">
        <v>29</v>
      </c>
      <c r="F390" s="5">
        <v>0</v>
      </c>
      <c r="H390" s="416"/>
    </row>
    <row r="391" spans="1:8">
      <c r="A391" s="1"/>
      <c r="D391">
        <v>76.8</v>
      </c>
      <c r="E391" s="5" t="s">
        <v>30</v>
      </c>
      <c r="H391" s="416"/>
    </row>
    <row r="392" spans="1:8">
      <c r="A392" s="9">
        <v>4.1310000000000002</v>
      </c>
      <c r="B392" t="s">
        <v>297</v>
      </c>
      <c r="E392" s="5" t="s">
        <v>30</v>
      </c>
      <c r="F392" s="5">
        <v>0</v>
      </c>
      <c r="H392" s="416"/>
    </row>
    <row r="393" spans="1:8">
      <c r="A393" s="9">
        <v>4.1319999999999997</v>
      </c>
      <c r="B393" t="s">
        <v>298</v>
      </c>
      <c r="D393">
        <v>34.200000000000003</v>
      </c>
      <c r="E393" s="5" t="s">
        <v>29</v>
      </c>
      <c r="F393" s="5">
        <v>0</v>
      </c>
      <c r="H393" s="416"/>
    </row>
    <row r="394" spans="1:8">
      <c r="A394" s="1"/>
      <c r="D394">
        <v>9.3000000000000007</v>
      </c>
      <c r="E394" s="5" t="s">
        <v>30</v>
      </c>
      <c r="H394" s="416"/>
    </row>
    <row r="395" spans="1:8">
      <c r="A395" s="9">
        <v>4.133</v>
      </c>
      <c r="B395" t="s">
        <v>299</v>
      </c>
      <c r="D395">
        <v>63.6</v>
      </c>
      <c r="E395" s="5" t="s">
        <v>29</v>
      </c>
      <c r="F395" s="5">
        <v>0</v>
      </c>
      <c r="H395" s="416"/>
    </row>
    <row r="396" spans="1:8">
      <c r="A396" s="1"/>
      <c r="D396">
        <v>17.3</v>
      </c>
      <c r="E396" s="5" t="s">
        <v>30</v>
      </c>
      <c r="H396" s="416"/>
    </row>
    <row r="397" spans="1:8">
      <c r="A397" s="9">
        <v>4.1340000000000003</v>
      </c>
      <c r="B397" t="s">
        <v>78</v>
      </c>
      <c r="D397">
        <v>50.2</v>
      </c>
      <c r="E397" s="5" t="s">
        <v>30</v>
      </c>
      <c r="F397" s="5">
        <v>0</v>
      </c>
      <c r="H397" s="416"/>
    </row>
    <row r="398" spans="1:8">
      <c r="A398" s="8">
        <v>4.1399999999999997</v>
      </c>
      <c r="B398" t="s">
        <v>300</v>
      </c>
      <c r="D398">
        <v>291.2</v>
      </c>
      <c r="E398" s="5" t="s">
        <v>29</v>
      </c>
      <c r="F398" s="5">
        <v>0</v>
      </c>
      <c r="H398" s="416"/>
    </row>
    <row r="399" spans="1:8">
      <c r="A399" s="1"/>
      <c r="D399">
        <v>170.5</v>
      </c>
      <c r="E399" s="5" t="s">
        <v>30</v>
      </c>
      <c r="H399" s="416"/>
    </row>
    <row r="400" spans="1:8">
      <c r="A400" s="9">
        <v>4.141</v>
      </c>
      <c r="B400" t="s">
        <v>297</v>
      </c>
      <c r="E400" s="5" t="s">
        <v>30</v>
      </c>
      <c r="F400" s="5">
        <v>0</v>
      </c>
      <c r="H400" s="416"/>
    </row>
    <row r="401" spans="1:8">
      <c r="A401" s="9">
        <v>4.1420000000000003</v>
      </c>
      <c r="B401" t="s">
        <v>298</v>
      </c>
      <c r="D401">
        <v>145</v>
      </c>
      <c r="E401" s="5" t="s">
        <v>29</v>
      </c>
      <c r="F401" s="5">
        <v>0</v>
      </c>
      <c r="H401" s="416"/>
    </row>
    <row r="402" spans="1:8">
      <c r="A402" s="1"/>
      <c r="D402">
        <v>41.4</v>
      </c>
      <c r="E402" s="5" t="s">
        <v>30</v>
      </c>
      <c r="H402" s="416"/>
    </row>
    <row r="403" spans="1:8">
      <c r="A403" s="9">
        <v>4.1429999999999998</v>
      </c>
      <c r="B403" t="s">
        <v>299</v>
      </c>
      <c r="D403">
        <v>146.1</v>
      </c>
      <c r="E403" s="5" t="s">
        <v>29</v>
      </c>
      <c r="F403" s="5">
        <v>0</v>
      </c>
      <c r="H403" s="416"/>
    </row>
    <row r="404" spans="1:8">
      <c r="A404" s="1"/>
      <c r="D404">
        <v>41.7</v>
      </c>
      <c r="E404" s="5" t="s">
        <v>30</v>
      </c>
      <c r="H404" s="416"/>
    </row>
    <row r="405" spans="1:8">
      <c r="A405" s="9">
        <v>4.1440000000000001</v>
      </c>
      <c r="B405" t="s">
        <v>78</v>
      </c>
      <c r="D405">
        <v>87.3</v>
      </c>
      <c r="E405" s="5" t="s">
        <v>30</v>
      </c>
      <c r="F405" s="5">
        <v>0</v>
      </c>
      <c r="H405" s="416"/>
    </row>
    <row r="406" spans="1:8">
      <c r="A406" s="8">
        <v>4.17</v>
      </c>
      <c r="B406" t="s">
        <v>319</v>
      </c>
      <c r="E406" s="5" t="s">
        <v>30</v>
      </c>
      <c r="F406" s="5">
        <v>0</v>
      </c>
      <c r="H406" s="416"/>
    </row>
    <row r="407" spans="1:8">
      <c r="A407" s="7">
        <v>4.2</v>
      </c>
      <c r="B407" t="s">
        <v>320</v>
      </c>
      <c r="E407" s="5" t="s">
        <v>30</v>
      </c>
      <c r="F407" s="5">
        <v>0</v>
      </c>
      <c r="H407" s="416"/>
    </row>
    <row r="408" spans="1:8">
      <c r="A408" s="8">
        <v>4.21</v>
      </c>
      <c r="B408" t="s">
        <v>301</v>
      </c>
      <c r="E408" s="5" t="s">
        <v>30</v>
      </c>
      <c r="F408" s="5">
        <v>0</v>
      </c>
      <c r="H408" s="416"/>
    </row>
    <row r="409" spans="1:8">
      <c r="A409" s="9">
        <v>4.2100099999999996</v>
      </c>
      <c r="B409" t="s">
        <v>302</v>
      </c>
      <c r="E409" s="5" t="s">
        <v>30</v>
      </c>
      <c r="F409" s="5">
        <v>0</v>
      </c>
      <c r="H409" s="416"/>
    </row>
    <row r="410" spans="1:8">
      <c r="A410" s="8">
        <v>4.22</v>
      </c>
      <c r="B410" t="s">
        <v>321</v>
      </c>
      <c r="E410" s="5" t="s">
        <v>30</v>
      </c>
      <c r="F410" s="5">
        <v>0</v>
      </c>
      <c r="H410" s="416"/>
    </row>
    <row r="411" spans="1:8">
      <c r="A411" s="8">
        <v>4.2300000000000004</v>
      </c>
      <c r="B411" t="s">
        <v>303</v>
      </c>
      <c r="E411" s="5" t="s">
        <v>30</v>
      </c>
      <c r="F411" s="5">
        <v>0</v>
      </c>
      <c r="H411" s="416"/>
    </row>
    <row r="412" spans="1:8">
      <c r="A412" s="8">
        <v>4.24</v>
      </c>
      <c r="B412" t="s">
        <v>304</v>
      </c>
      <c r="E412" s="5" t="s">
        <v>30</v>
      </c>
      <c r="F412" s="5">
        <v>0</v>
      </c>
      <c r="H412" s="416"/>
    </row>
    <row r="413" spans="1:8">
      <c r="A413" s="7">
        <v>4.3</v>
      </c>
      <c r="B413" t="s">
        <v>305</v>
      </c>
      <c r="D413">
        <v>129.80000000000001</v>
      </c>
      <c r="E413" s="5" t="s">
        <v>29</v>
      </c>
      <c r="F413" s="5">
        <v>0</v>
      </c>
      <c r="H413" s="416"/>
    </row>
    <row r="414" spans="1:8">
      <c r="A414" s="1"/>
      <c r="D414">
        <v>-356.8</v>
      </c>
      <c r="E414" s="5" t="s">
        <v>30</v>
      </c>
      <c r="H414" s="416"/>
    </row>
    <row r="415" spans="1:8">
      <c r="A415" s="8">
        <v>4.3099999999999996</v>
      </c>
      <c r="B415" t="s">
        <v>322</v>
      </c>
      <c r="D415">
        <v>-867.5</v>
      </c>
      <c r="E415" s="5" t="s">
        <v>30</v>
      </c>
      <c r="F415" s="5">
        <v>0</v>
      </c>
      <c r="H415" s="416"/>
    </row>
    <row r="416" spans="1:8">
      <c r="A416" s="8">
        <v>4.32</v>
      </c>
      <c r="B416" t="s">
        <v>306</v>
      </c>
      <c r="E416" s="5" t="s">
        <v>30</v>
      </c>
      <c r="F416" s="5">
        <v>0</v>
      </c>
      <c r="H416" s="416"/>
    </row>
    <row r="417" spans="1:8">
      <c r="A417" s="9">
        <v>4.3209999999999997</v>
      </c>
      <c r="B417" t="s">
        <v>307</v>
      </c>
      <c r="E417" s="5" t="s">
        <v>30</v>
      </c>
      <c r="F417" s="5">
        <v>0</v>
      </c>
      <c r="H417" s="416"/>
    </row>
    <row r="418" spans="1:8">
      <c r="A418" s="9">
        <v>4.3220000000000001</v>
      </c>
      <c r="B418" t="s">
        <v>308</v>
      </c>
      <c r="E418" s="5" t="s">
        <v>30</v>
      </c>
      <c r="F418" s="5">
        <v>0</v>
      </c>
      <c r="H418" s="416"/>
    </row>
    <row r="419" spans="1:8">
      <c r="A419" s="8">
        <v>4.33</v>
      </c>
      <c r="B419" t="s">
        <v>262</v>
      </c>
      <c r="D419">
        <v>194.5</v>
      </c>
      <c r="E419" s="5" t="s">
        <v>30</v>
      </c>
      <c r="F419" s="5">
        <v>0</v>
      </c>
      <c r="H419" s="416"/>
    </row>
    <row r="420" spans="1:8">
      <c r="A420" s="9">
        <v>4.3310000000000004</v>
      </c>
      <c r="B420" t="s">
        <v>309</v>
      </c>
      <c r="D420">
        <v>98.5</v>
      </c>
      <c r="E420" s="5" t="s">
        <v>30</v>
      </c>
      <c r="F420" s="5">
        <v>0</v>
      </c>
      <c r="H420" s="416"/>
    </row>
    <row r="421" spans="1:8">
      <c r="A421" s="10">
        <v>4.3311000000000002</v>
      </c>
      <c r="B421" t="s">
        <v>323</v>
      </c>
      <c r="E421" s="5" t="s">
        <v>30</v>
      </c>
      <c r="F421" s="5">
        <v>0</v>
      </c>
      <c r="H421" s="416"/>
    </row>
    <row r="422" spans="1:8">
      <c r="A422" s="10">
        <v>4.3312999999999997</v>
      </c>
      <c r="B422" t="s">
        <v>310</v>
      </c>
      <c r="E422" s="5" t="s">
        <v>30</v>
      </c>
      <c r="F422" s="5">
        <v>0</v>
      </c>
      <c r="H422" s="416"/>
    </row>
    <row r="423" spans="1:8">
      <c r="A423" s="10">
        <v>4.3314000000000004</v>
      </c>
      <c r="B423" t="s">
        <v>311</v>
      </c>
      <c r="D423">
        <v>98.5</v>
      </c>
      <c r="E423" s="5" t="s">
        <v>30</v>
      </c>
      <c r="F423" s="5">
        <v>0</v>
      </c>
      <c r="H423" s="416"/>
    </row>
    <row r="424" spans="1:8">
      <c r="A424" s="9">
        <v>4.3319999999999999</v>
      </c>
      <c r="B424" t="s">
        <v>312</v>
      </c>
      <c r="D424">
        <v>77</v>
      </c>
      <c r="E424" s="5" t="s">
        <v>30</v>
      </c>
      <c r="F424" s="5">
        <v>0</v>
      </c>
      <c r="H424" s="416"/>
    </row>
    <row r="425" spans="1:8">
      <c r="A425" s="9">
        <v>4.3339999999999996</v>
      </c>
      <c r="B425" t="s">
        <v>313</v>
      </c>
      <c r="D425">
        <v>19</v>
      </c>
      <c r="E425" s="5" t="s">
        <v>30</v>
      </c>
      <c r="F425" s="5">
        <v>0</v>
      </c>
      <c r="H425" s="416"/>
    </row>
    <row r="426" spans="1:8">
      <c r="A426" s="8">
        <v>4.34</v>
      </c>
      <c r="B426" t="s">
        <v>324</v>
      </c>
      <c r="D426">
        <v>27.2</v>
      </c>
      <c r="E426" s="5" t="s">
        <v>30</v>
      </c>
      <c r="F426" s="5">
        <v>0</v>
      </c>
      <c r="H426" s="416"/>
    </row>
    <row r="427" spans="1:8">
      <c r="A427" s="9">
        <v>4.3410000000000002</v>
      </c>
      <c r="B427" t="s">
        <v>314</v>
      </c>
      <c r="D427">
        <v>18.100000000000001</v>
      </c>
      <c r="E427" s="5" t="s">
        <v>30</v>
      </c>
      <c r="F427" s="5">
        <v>0</v>
      </c>
      <c r="H427" s="416"/>
    </row>
    <row r="428" spans="1:8">
      <c r="A428" s="9">
        <v>4.3419999999999996</v>
      </c>
      <c r="B428" t="s">
        <v>315</v>
      </c>
      <c r="D428">
        <v>9.1</v>
      </c>
      <c r="E428" s="5" t="s">
        <v>30</v>
      </c>
      <c r="F428" s="5">
        <v>0</v>
      </c>
      <c r="H428" s="416"/>
    </row>
    <row r="429" spans="1:8">
      <c r="A429" s="8">
        <v>4.3499999999999996</v>
      </c>
      <c r="B429" t="s">
        <v>316</v>
      </c>
      <c r="D429">
        <v>37.9</v>
      </c>
      <c r="E429" s="5" t="s">
        <v>30</v>
      </c>
      <c r="F429" s="5">
        <v>0</v>
      </c>
      <c r="H429" s="416"/>
    </row>
    <row r="430" spans="1:8">
      <c r="A430" s="8">
        <v>4.3600000000000003</v>
      </c>
      <c r="B430" t="s">
        <v>317</v>
      </c>
      <c r="D430">
        <v>129.80000000000001</v>
      </c>
      <c r="E430" s="5" t="s">
        <v>29</v>
      </c>
      <c r="F430" s="5">
        <v>0</v>
      </c>
      <c r="H430" s="416"/>
    </row>
    <row r="431" spans="1:8">
      <c r="A431" s="1"/>
      <c r="D431">
        <v>251.1</v>
      </c>
      <c r="E431" s="5" t="s">
        <v>30</v>
      </c>
      <c r="H431" s="416"/>
    </row>
    <row r="432" spans="1:8">
      <c r="A432" s="3"/>
      <c r="H432" s="417"/>
    </row>
    <row r="433" spans="1:8">
      <c r="A433" s="1" t="s">
        <v>0</v>
      </c>
    </row>
    <row r="434" spans="1:8">
      <c r="A434" s="1" t="s">
        <v>1</v>
      </c>
    </row>
    <row r="435" spans="1:8">
      <c r="A435" s="2"/>
    </row>
    <row r="436" spans="1:8">
      <c r="A436" s="1" t="s">
        <v>23</v>
      </c>
      <c r="B436" t="s">
        <v>24</v>
      </c>
      <c r="C436" t="s">
        <v>25</v>
      </c>
      <c r="H436" s="416"/>
    </row>
    <row r="437" spans="1:8">
      <c r="A437" s="1">
        <v>1.3813</v>
      </c>
      <c r="B437" t="s">
        <v>85</v>
      </c>
      <c r="C437">
        <v>212.6</v>
      </c>
      <c r="H437" s="416"/>
    </row>
    <row r="438" spans="1:8">
      <c r="A438" s="1">
        <v>3.9110100000000001</v>
      </c>
      <c r="B438" t="s">
        <v>282</v>
      </c>
      <c r="C438">
        <v>1689</v>
      </c>
      <c r="H438" s="416"/>
    </row>
    <row r="439" spans="1:8">
      <c r="A439" s="1">
        <v>3.9110399999999998</v>
      </c>
      <c r="B439" t="s">
        <v>283</v>
      </c>
      <c r="C439">
        <v>466.2</v>
      </c>
      <c r="H439" s="416"/>
    </row>
    <row r="440" spans="1:8">
      <c r="A440" s="1">
        <v>3.9140000000000001</v>
      </c>
      <c r="B440" t="s">
        <v>284</v>
      </c>
      <c r="H440" s="416"/>
    </row>
    <row r="441" spans="1:8">
      <c r="A441" s="1">
        <v>3.92</v>
      </c>
      <c r="B441" t="s">
        <v>285</v>
      </c>
      <c r="H441" s="416"/>
    </row>
    <row r="442" spans="1:8">
      <c r="A442" s="1">
        <v>3.93</v>
      </c>
      <c r="B442" t="s">
        <v>286</v>
      </c>
      <c r="C442">
        <v>60.2</v>
      </c>
      <c r="H442" s="416"/>
    </row>
    <row r="443" spans="1:8">
      <c r="A443" s="31"/>
      <c r="B443" s="27" t="s">
        <v>325</v>
      </c>
      <c r="C443" s="27"/>
      <c r="H443" s="416"/>
    </row>
    <row r="444" spans="1:8">
      <c r="A444" s="1"/>
      <c r="B444" t="s">
        <v>326</v>
      </c>
      <c r="C444">
        <f>SUM(C437:C443)</f>
        <v>2427.9999999999995</v>
      </c>
      <c r="H444" s="416"/>
    </row>
    <row r="445" spans="1:8">
      <c r="A445" s="2"/>
      <c r="H445" s="415"/>
    </row>
    <row r="446" spans="1:8">
      <c r="A446" s="1" t="s">
        <v>2</v>
      </c>
      <c r="H446" s="416"/>
    </row>
    <row r="447" spans="1:8">
      <c r="A447" s="1" t="s">
        <v>3</v>
      </c>
      <c r="H447" s="416"/>
    </row>
    <row r="448" spans="1:8">
      <c r="A448" s="1" t="s">
        <v>4</v>
      </c>
      <c r="H448" s="416"/>
    </row>
    <row r="449" spans="1:8">
      <c r="A449" s="2"/>
      <c r="H449" s="415"/>
    </row>
    <row r="450" spans="1:8">
      <c r="A450" s="1" t="s">
        <v>5</v>
      </c>
      <c r="H450" s="415"/>
    </row>
    <row r="451" spans="1:8">
      <c r="A451" s="1" t="s">
        <v>6</v>
      </c>
      <c r="H451" s="415"/>
    </row>
    <row r="452" spans="1:8">
      <c r="A452" s="1" t="s">
        <v>7</v>
      </c>
      <c r="H452" s="416"/>
    </row>
    <row r="453" spans="1:8">
      <c r="A453" s="2"/>
      <c r="H453" s="416"/>
    </row>
    <row r="454" spans="1:8">
      <c r="A454" s="1" t="s">
        <v>23</v>
      </c>
      <c r="B454" t="s">
        <v>24</v>
      </c>
      <c r="C454" t="s">
        <v>25</v>
      </c>
      <c r="H454" s="416"/>
    </row>
    <row r="455" spans="1:8">
      <c r="A455" s="1">
        <v>1.3813</v>
      </c>
      <c r="B455" t="s">
        <v>85</v>
      </c>
      <c r="C455">
        <v>212.6</v>
      </c>
      <c r="H455" s="415"/>
    </row>
    <row r="456" spans="1:8">
      <c r="A456" s="1">
        <v>3.9110100000000001</v>
      </c>
      <c r="B456" t="s">
        <v>282</v>
      </c>
      <c r="C456">
        <v>1689</v>
      </c>
      <c r="H456" s="416"/>
    </row>
    <row r="457" spans="1:8">
      <c r="A457" s="1">
        <v>3.9110399999999998</v>
      </c>
      <c r="B457" t="s">
        <v>283</v>
      </c>
      <c r="C457">
        <v>466.2</v>
      </c>
      <c r="H457" s="416"/>
    </row>
    <row r="458" spans="1:8">
      <c r="A458" s="1">
        <v>3.9140000000000001</v>
      </c>
      <c r="B458" t="s">
        <v>284</v>
      </c>
      <c r="H458" s="416"/>
    </row>
    <row r="459" spans="1:8">
      <c r="A459" s="1">
        <v>3.93</v>
      </c>
      <c r="B459" t="s">
        <v>286</v>
      </c>
      <c r="C459">
        <v>60.2</v>
      </c>
      <c r="H459" s="416"/>
    </row>
    <row r="460" spans="1:8">
      <c r="A460" s="32">
        <v>3.95</v>
      </c>
      <c r="B460" s="33" t="s">
        <v>290</v>
      </c>
      <c r="C460" s="33">
        <v>330.3</v>
      </c>
      <c r="H460" s="416"/>
    </row>
    <row r="461" spans="1:8">
      <c r="A461" s="31"/>
      <c r="B461" s="27" t="s">
        <v>327</v>
      </c>
      <c r="C461" s="27"/>
      <c r="H461" s="416"/>
    </row>
    <row r="462" spans="1:8">
      <c r="A462" s="1"/>
      <c r="B462" t="s">
        <v>328</v>
      </c>
      <c r="C462">
        <f>SUM(C455:C461)</f>
        <v>2758.2999999999997</v>
      </c>
      <c r="H462" s="416"/>
    </row>
    <row r="463" spans="1:8">
      <c r="A463" s="2"/>
      <c r="H463" s="416"/>
    </row>
    <row r="464" spans="1:8">
      <c r="A464" s="1" t="s">
        <v>8</v>
      </c>
      <c r="H464" s="416"/>
    </row>
    <row r="465" spans="1:8">
      <c r="A465" s="1" t="s">
        <v>9</v>
      </c>
      <c r="H465" s="416"/>
    </row>
    <row r="466" spans="1:8">
      <c r="A466" s="3"/>
      <c r="H466" s="416"/>
    </row>
    <row r="467" spans="1:8">
      <c r="H467" s="41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I476"/>
  <sheetViews>
    <sheetView topLeftCell="A149" workbookViewId="0">
      <selection activeCell="H160" sqref="H74:H160"/>
    </sheetView>
  </sheetViews>
  <sheetFormatPr defaultRowHeight="14.5"/>
  <cols>
    <col min="1" max="1" width="23.90625" style="23" customWidth="1"/>
    <col min="2" max="2" width="34.54296875" bestFit="1" customWidth="1"/>
    <col min="3" max="3" width="11.26953125" bestFit="1" customWidth="1"/>
    <col min="4" max="4" width="9.7265625" bestFit="1" customWidth="1"/>
    <col min="5" max="5" width="7.36328125" bestFit="1" customWidth="1"/>
  </cols>
  <sheetData>
    <row r="1" spans="1:4">
      <c r="C1" s="6" t="s">
        <v>334</v>
      </c>
    </row>
    <row r="2" spans="1:4" s="38" customFormat="1" ht="15.5">
      <c r="A2" s="38" t="s">
        <v>344</v>
      </c>
      <c r="B2" s="38" t="s">
        <v>345</v>
      </c>
      <c r="C2" s="39">
        <v>15060.7</v>
      </c>
      <c r="D2" s="38" t="s">
        <v>346</v>
      </c>
    </row>
    <row r="3" spans="1:4" s="38" customFormat="1" ht="15.5">
      <c r="A3" s="38" t="s">
        <v>347</v>
      </c>
      <c r="B3" s="38" t="s">
        <v>348</v>
      </c>
      <c r="C3" s="40">
        <v>186.88</v>
      </c>
      <c r="D3" s="38" t="s">
        <v>346</v>
      </c>
    </row>
    <row r="4" spans="1:4" s="38" customFormat="1" ht="15.5">
      <c r="A4" s="38" t="s">
        <v>349</v>
      </c>
      <c r="B4" s="38" t="s">
        <v>350</v>
      </c>
      <c r="C4" s="39">
        <v>171.66</v>
      </c>
      <c r="D4" s="38" t="s">
        <v>346</v>
      </c>
    </row>
    <row r="5" spans="1:4" s="38" customFormat="1" ht="15.5">
      <c r="A5" s="38" t="s">
        <v>351</v>
      </c>
      <c r="B5" s="38" t="s">
        <v>352</v>
      </c>
      <c r="C5" s="39">
        <v>21.3</v>
      </c>
      <c r="D5" s="38" t="s">
        <v>346</v>
      </c>
    </row>
    <row r="6" spans="1:4" s="38" customFormat="1" ht="15.5">
      <c r="A6" s="38" t="s">
        <v>29</v>
      </c>
      <c r="B6" s="38" t="s">
        <v>353</v>
      </c>
      <c r="C6" s="39">
        <v>15.06</v>
      </c>
      <c r="D6" s="38" t="s">
        <v>346</v>
      </c>
    </row>
    <row r="7" spans="1:4" s="38" customFormat="1" ht="15.5">
      <c r="A7" s="38" t="s">
        <v>28</v>
      </c>
      <c r="B7" s="38" t="s">
        <v>354</v>
      </c>
      <c r="C7" s="39">
        <v>7.39</v>
      </c>
      <c r="D7" s="38" t="s">
        <v>346</v>
      </c>
    </row>
    <row r="8" spans="1:4" s="38" customFormat="1" ht="15.5">
      <c r="A8" s="38" t="s">
        <v>355</v>
      </c>
      <c r="C8" s="41">
        <f>C10*C9</f>
        <v>0.50852799999999998</v>
      </c>
    </row>
    <row r="9" spans="1:4" s="38" customFormat="1" ht="15.5">
      <c r="A9" s="38" t="s">
        <v>356</v>
      </c>
      <c r="C9" s="39">
        <v>0.85899999999999999</v>
      </c>
    </row>
    <row r="10" spans="1:4" s="38" customFormat="1" ht="15.5">
      <c r="A10" s="38" t="s">
        <v>357</v>
      </c>
      <c r="C10" s="39">
        <v>0.59199999999999997</v>
      </c>
    </row>
    <row r="11" spans="1:4" s="38" customFormat="1" ht="15.5">
      <c r="A11" s="38" t="s">
        <v>358</v>
      </c>
      <c r="B11" s="38" t="s">
        <v>359</v>
      </c>
      <c r="C11" s="39">
        <f>(80+8.725*3)*1000</f>
        <v>106175</v>
      </c>
      <c r="D11" s="38" t="s">
        <v>360</v>
      </c>
    </row>
    <row r="12" spans="1:4" s="38" customFormat="1" ht="15.5">
      <c r="A12" s="38" t="s">
        <v>361</v>
      </c>
      <c r="B12" s="38" t="s">
        <v>362</v>
      </c>
      <c r="C12" s="42">
        <v>0</v>
      </c>
      <c r="D12" s="38" t="s">
        <v>360</v>
      </c>
    </row>
    <row r="13" spans="1:4" s="38" customFormat="1" ht="15.5">
      <c r="A13" s="38" t="s">
        <v>363</v>
      </c>
      <c r="B13" s="38" t="s">
        <v>364</v>
      </c>
      <c r="C13" s="43">
        <v>390</v>
      </c>
    </row>
    <row r="14" spans="1:4" s="38" customFormat="1" ht="15.5">
      <c r="A14" s="38" t="s">
        <v>365</v>
      </c>
      <c r="B14" s="38" t="s">
        <v>366</v>
      </c>
      <c r="C14" s="44">
        <v>30.39</v>
      </c>
      <c r="D14" s="38" t="s">
        <v>367</v>
      </c>
    </row>
    <row r="15" spans="1:4">
      <c r="B15" s="6"/>
    </row>
    <row r="16" spans="1:4">
      <c r="B16" s="13" t="s">
        <v>10</v>
      </c>
      <c r="C16">
        <v>14180.3</v>
      </c>
    </row>
    <row r="17" spans="1:3">
      <c r="B17" s="13" t="s">
        <v>11</v>
      </c>
      <c r="C17">
        <v>390</v>
      </c>
    </row>
    <row r="18" spans="1:3">
      <c r="B18" s="13" t="s">
        <v>13</v>
      </c>
      <c r="C18">
        <v>3.16</v>
      </c>
    </row>
    <row r="19" spans="1:3">
      <c r="B19" s="13" t="s">
        <v>14</v>
      </c>
      <c r="C19">
        <v>10738</v>
      </c>
    </row>
    <row r="20" spans="1:3">
      <c r="B20" s="13" t="s">
        <v>16</v>
      </c>
      <c r="C20">
        <v>2759</v>
      </c>
    </row>
    <row r="21" spans="1:3">
      <c r="B21" s="13" t="s">
        <v>18</v>
      </c>
      <c r="C21">
        <v>0</v>
      </c>
    </row>
    <row r="22" spans="1:3">
      <c r="B22" t="s">
        <v>12</v>
      </c>
      <c r="C22">
        <v>0</v>
      </c>
    </row>
    <row r="23" spans="1:3">
      <c r="B23" t="s">
        <v>15</v>
      </c>
      <c r="C23">
        <v>0.15</v>
      </c>
    </row>
    <row r="24" spans="1:3">
      <c r="B24" t="s">
        <v>17</v>
      </c>
      <c r="C24">
        <v>0</v>
      </c>
    </row>
    <row r="25" spans="1:3">
      <c r="A25" s="13"/>
    </row>
    <row r="26" spans="1:3">
      <c r="A26" s="13"/>
      <c r="B26" s="4" t="s">
        <v>336</v>
      </c>
    </row>
    <row r="27" spans="1:3">
      <c r="A27" s="13"/>
      <c r="B27" s="1"/>
    </row>
    <row r="28" spans="1:3">
      <c r="B28" s="7" t="s">
        <v>21</v>
      </c>
      <c r="C28">
        <v>0</v>
      </c>
    </row>
    <row r="29" spans="1:3">
      <c r="B29" s="7" t="s">
        <v>22</v>
      </c>
      <c r="C29" s="27">
        <v>1000</v>
      </c>
    </row>
    <row r="30" spans="1:3">
      <c r="B30" s="7" t="s">
        <v>20</v>
      </c>
      <c r="C30">
        <f>SUM(C28:C29)</f>
        <v>1000</v>
      </c>
    </row>
    <row r="31" spans="1:3">
      <c r="B31" s="2"/>
    </row>
    <row r="32" spans="1:3">
      <c r="B32" s="4" t="s">
        <v>335</v>
      </c>
    </row>
    <row r="33" spans="1:3">
      <c r="B33" s="7" t="s">
        <v>21</v>
      </c>
      <c r="C33">
        <v>1285</v>
      </c>
    </row>
    <row r="34" spans="1:3">
      <c r="B34" s="7" t="s">
        <v>22</v>
      </c>
      <c r="C34" s="27">
        <v>6509</v>
      </c>
    </row>
    <row r="35" spans="1:3">
      <c r="B35" s="7" t="s">
        <v>20</v>
      </c>
      <c r="C35">
        <f>SUM(C33:C34)</f>
        <v>7794</v>
      </c>
    </row>
    <row r="37" spans="1:3">
      <c r="B37" s="1" t="s">
        <v>337</v>
      </c>
    </row>
    <row r="38" spans="1:3">
      <c r="B38" s="7" t="s">
        <v>21</v>
      </c>
      <c r="C38">
        <v>3379</v>
      </c>
    </row>
    <row r="39" spans="1:3">
      <c r="B39" s="7" t="s">
        <v>22</v>
      </c>
      <c r="C39" s="27">
        <v>6538</v>
      </c>
    </row>
    <row r="40" spans="1:3">
      <c r="B40" s="7" t="s">
        <v>20</v>
      </c>
      <c r="C40">
        <f>SUM(C38:C39)</f>
        <v>9917</v>
      </c>
    </row>
    <row r="41" spans="1:3">
      <c r="B41" s="2"/>
    </row>
    <row r="42" spans="1:3">
      <c r="B42" s="4" t="s">
        <v>338</v>
      </c>
    </row>
    <row r="43" spans="1:3">
      <c r="B43" s="7" t="s">
        <v>21</v>
      </c>
      <c r="C43">
        <v>10640</v>
      </c>
    </row>
    <row r="44" spans="1:3">
      <c r="B44" s="7" t="s">
        <v>22</v>
      </c>
      <c r="C44" s="27">
        <v>34572</v>
      </c>
    </row>
    <row r="45" spans="1:3">
      <c r="B45" s="7" t="s">
        <v>20</v>
      </c>
      <c r="C45">
        <f>SUM(C43:C44)</f>
        <v>45212</v>
      </c>
    </row>
    <row r="47" spans="1:3">
      <c r="A47" s="5" t="s">
        <v>339</v>
      </c>
    </row>
    <row r="48" spans="1:3">
      <c r="A48" s="28" t="s">
        <v>23</v>
      </c>
      <c r="B48" s="1" t="s">
        <v>24</v>
      </c>
    </row>
    <row r="49" spans="1:5">
      <c r="A49" s="28">
        <v>1</v>
      </c>
      <c r="B49" t="s">
        <v>27</v>
      </c>
      <c r="C49">
        <v>1417</v>
      </c>
    </row>
    <row r="50" spans="1:5">
      <c r="A50" s="28">
        <v>2</v>
      </c>
      <c r="B50" t="s">
        <v>107</v>
      </c>
      <c r="C50">
        <v>2102</v>
      </c>
    </row>
    <row r="51" spans="1:5">
      <c r="A51" s="28">
        <v>3</v>
      </c>
      <c r="B51" t="s">
        <v>293</v>
      </c>
      <c r="C51">
        <v>2847</v>
      </c>
    </row>
    <row r="52" spans="1:5">
      <c r="A52" s="28">
        <v>4</v>
      </c>
      <c r="B52" t="s">
        <v>341</v>
      </c>
      <c r="C52">
        <v>412</v>
      </c>
    </row>
    <row r="53" spans="1:5">
      <c r="A53" s="28">
        <v>5</v>
      </c>
      <c r="B53" t="s">
        <v>342</v>
      </c>
      <c r="C53" s="27">
        <v>1016.6</v>
      </c>
    </row>
    <row r="54" spans="1:5">
      <c r="A54" s="28" t="s">
        <v>20</v>
      </c>
      <c r="C54">
        <f>SUM(C49:C53)</f>
        <v>7794.6</v>
      </c>
    </row>
    <row r="55" spans="1:5">
      <c r="A55" s="5"/>
    </row>
    <row r="56" spans="1:5">
      <c r="A56" s="5" t="s">
        <v>340</v>
      </c>
      <c r="E56" s="417"/>
    </row>
    <row r="57" spans="1:5">
      <c r="A57" s="28" t="s">
        <v>23</v>
      </c>
      <c r="B57" t="s">
        <v>24</v>
      </c>
      <c r="E57" s="416"/>
    </row>
    <row r="58" spans="1:5">
      <c r="A58" s="28">
        <v>1</v>
      </c>
      <c r="B58" t="s">
        <v>27</v>
      </c>
      <c r="C58">
        <v>92</v>
      </c>
      <c r="E58" s="416"/>
    </row>
    <row r="59" spans="1:5">
      <c r="A59" s="28">
        <v>2</v>
      </c>
      <c r="B59" t="s">
        <v>107</v>
      </c>
      <c r="C59">
        <v>51</v>
      </c>
      <c r="E59" s="416"/>
    </row>
    <row r="60" spans="1:5">
      <c r="A60" s="28">
        <v>3</v>
      </c>
      <c r="B60" t="s">
        <v>293</v>
      </c>
      <c r="C60">
        <v>454</v>
      </c>
      <c r="E60" s="416"/>
    </row>
    <row r="61" spans="1:5">
      <c r="A61" s="28">
        <v>4</v>
      </c>
      <c r="B61" t="s">
        <v>341</v>
      </c>
      <c r="C61">
        <v>519</v>
      </c>
      <c r="E61" s="416"/>
    </row>
    <row r="62" spans="1:5">
      <c r="A62" s="28">
        <v>5</v>
      </c>
      <c r="B62" t="s">
        <v>342</v>
      </c>
      <c r="C62" s="27">
        <v>167.5</v>
      </c>
      <c r="E62" s="416"/>
    </row>
    <row r="63" spans="1:5">
      <c r="A63" s="28" t="s">
        <v>20</v>
      </c>
      <c r="C63">
        <f>SUM(C58:C62)</f>
        <v>1283.5</v>
      </c>
      <c r="E63" s="416"/>
    </row>
    <row r="64" spans="1:5">
      <c r="A64" s="30"/>
    </row>
    <row r="65" spans="1:8">
      <c r="A65" s="5" t="s">
        <v>343</v>
      </c>
    </row>
    <row r="66" spans="1:8">
      <c r="A66" s="28" t="s">
        <v>23</v>
      </c>
      <c r="B66" t="s">
        <v>24</v>
      </c>
    </row>
    <row r="67" spans="1:8">
      <c r="A67" s="28">
        <v>1</v>
      </c>
      <c r="B67" t="s">
        <v>27</v>
      </c>
      <c r="C67">
        <v>18.2</v>
      </c>
    </row>
    <row r="68" spans="1:8">
      <c r="A68" s="28">
        <v>2</v>
      </c>
      <c r="B68" t="s">
        <v>107</v>
      </c>
      <c r="C68">
        <v>27</v>
      </c>
    </row>
    <row r="69" spans="1:8">
      <c r="A69" s="28">
        <v>3</v>
      </c>
      <c r="B69" t="s">
        <v>293</v>
      </c>
      <c r="C69">
        <v>36.5</v>
      </c>
    </row>
    <row r="70" spans="1:8">
      <c r="A70" s="28">
        <v>4</v>
      </c>
      <c r="B70" t="s">
        <v>341</v>
      </c>
      <c r="C70">
        <v>5.3</v>
      </c>
    </row>
    <row r="71" spans="1:8">
      <c r="A71" s="28">
        <v>5</v>
      </c>
      <c r="B71" t="s">
        <v>342</v>
      </c>
      <c r="C71" s="27">
        <v>13</v>
      </c>
    </row>
    <row r="72" spans="1:8">
      <c r="A72" s="28" t="s">
        <v>20</v>
      </c>
      <c r="C72">
        <f>SUM(C67:C71)</f>
        <v>100</v>
      </c>
    </row>
    <row r="73" spans="1:8">
      <c r="A73" s="28"/>
    </row>
    <row r="74" spans="1:8">
      <c r="A74" s="1" t="s">
        <v>23</v>
      </c>
      <c r="B74" t="s">
        <v>24</v>
      </c>
      <c r="C74" t="s">
        <v>25</v>
      </c>
      <c r="D74" s="5" t="s">
        <v>19</v>
      </c>
      <c r="E74" s="5" t="s">
        <v>235</v>
      </c>
      <c r="F74" s="5" t="s">
        <v>26</v>
      </c>
      <c r="G74" s="5"/>
    </row>
    <row r="75" spans="1:8">
      <c r="A75" s="15">
        <v>1</v>
      </c>
      <c r="B75" t="s">
        <v>27</v>
      </c>
      <c r="C75">
        <v>212.6</v>
      </c>
      <c r="D75">
        <v>1417.2</v>
      </c>
      <c r="E75" s="5" t="s">
        <v>28</v>
      </c>
      <c r="F75" s="5">
        <v>0</v>
      </c>
      <c r="H75" s="416"/>
    </row>
    <row r="76" spans="1:8">
      <c r="A76" s="15"/>
      <c r="D76">
        <v>92.5</v>
      </c>
      <c r="E76" s="5" t="s">
        <v>29</v>
      </c>
      <c r="F76" s="5"/>
      <c r="H76" s="416"/>
    </row>
    <row r="77" spans="1:8">
      <c r="A77" s="15"/>
      <c r="D77">
        <v>1324.7</v>
      </c>
      <c r="E77" s="5" t="s">
        <v>30</v>
      </c>
      <c r="F77" s="5"/>
      <c r="H77" s="416"/>
    </row>
    <row r="78" spans="1:8">
      <c r="A78" s="17">
        <v>1.1000000000000001</v>
      </c>
      <c r="B78" t="s">
        <v>31</v>
      </c>
      <c r="D78">
        <v>73.900000000000006</v>
      </c>
      <c r="E78" s="5" t="s">
        <v>29</v>
      </c>
      <c r="F78" s="5">
        <v>0</v>
      </c>
      <c r="H78" s="416"/>
    </row>
    <row r="79" spans="1:8">
      <c r="A79" s="15"/>
      <c r="D79">
        <v>108</v>
      </c>
      <c r="E79" s="5" t="s">
        <v>30</v>
      </c>
      <c r="F79" s="5"/>
      <c r="H79" s="416"/>
    </row>
    <row r="80" spans="1:8">
      <c r="A80" s="18">
        <v>1.1100000000000001</v>
      </c>
      <c r="B80" t="s">
        <v>32</v>
      </c>
      <c r="D80">
        <v>5.9</v>
      </c>
      <c r="E80" s="5" t="s">
        <v>29</v>
      </c>
      <c r="F80" s="5">
        <v>0</v>
      </c>
      <c r="H80" s="416"/>
    </row>
    <row r="81" spans="1:8">
      <c r="A81" s="19">
        <v>1.111</v>
      </c>
      <c r="B81" t="s">
        <v>33</v>
      </c>
      <c r="E81" s="5" t="s">
        <v>30</v>
      </c>
      <c r="F81" s="5">
        <v>0</v>
      </c>
      <c r="H81" s="416"/>
    </row>
    <row r="82" spans="1:8">
      <c r="A82" s="19">
        <v>1.1120000000000001</v>
      </c>
      <c r="B82" t="s">
        <v>34</v>
      </c>
      <c r="E82" s="5" t="s">
        <v>30</v>
      </c>
      <c r="F82" s="5">
        <v>0</v>
      </c>
      <c r="H82" s="416"/>
    </row>
    <row r="83" spans="1:8">
      <c r="A83" s="19">
        <v>1.113</v>
      </c>
      <c r="B83" t="s">
        <v>35</v>
      </c>
      <c r="D83">
        <v>5.9</v>
      </c>
      <c r="E83" s="5" t="s">
        <v>29</v>
      </c>
      <c r="F83" s="5">
        <v>0</v>
      </c>
      <c r="H83" s="416"/>
    </row>
    <row r="84" spans="1:8">
      <c r="A84" s="18">
        <v>1.1200000000000001</v>
      </c>
      <c r="B84" t="s">
        <v>36</v>
      </c>
      <c r="E84" s="5" t="s">
        <v>30</v>
      </c>
      <c r="F84" s="5">
        <v>0</v>
      </c>
      <c r="H84" s="416"/>
    </row>
    <row r="85" spans="1:8">
      <c r="A85" s="19">
        <v>1.121</v>
      </c>
      <c r="B85" t="s">
        <v>37</v>
      </c>
      <c r="E85" s="5" t="s">
        <v>30</v>
      </c>
      <c r="F85" s="5">
        <v>0</v>
      </c>
      <c r="H85" s="416"/>
    </row>
    <row r="86" spans="1:8">
      <c r="A86" s="19">
        <v>1.1220000000000001</v>
      </c>
      <c r="B86" t="s">
        <v>38</v>
      </c>
      <c r="E86" s="5" t="s">
        <v>30</v>
      </c>
      <c r="F86" s="5">
        <v>0</v>
      </c>
      <c r="H86" s="416"/>
    </row>
    <row r="87" spans="1:8">
      <c r="A87" s="18">
        <v>1.1299999999999999</v>
      </c>
      <c r="B87" t="s">
        <v>39</v>
      </c>
      <c r="D87">
        <v>67.900000000000006</v>
      </c>
      <c r="E87" s="5" t="s">
        <v>29</v>
      </c>
      <c r="F87" s="5">
        <v>0</v>
      </c>
      <c r="H87" s="416"/>
    </row>
    <row r="88" spans="1:8">
      <c r="A88" s="19">
        <v>1.131</v>
      </c>
      <c r="B88" t="s">
        <v>40</v>
      </c>
      <c r="E88" s="5" t="s">
        <v>30</v>
      </c>
      <c r="F88" s="5">
        <v>0</v>
      </c>
      <c r="H88" s="416"/>
    </row>
    <row r="89" spans="1:8">
      <c r="A89" s="19">
        <v>1.1319999999999999</v>
      </c>
      <c r="B89" t="s">
        <v>41</v>
      </c>
      <c r="D89">
        <v>67.900000000000006</v>
      </c>
      <c r="E89" s="5" t="s">
        <v>29</v>
      </c>
      <c r="F89" s="5">
        <v>0</v>
      </c>
      <c r="H89" s="416"/>
    </row>
    <row r="90" spans="1:8">
      <c r="A90" s="20">
        <v>1.1321000000000001</v>
      </c>
      <c r="B90" t="s">
        <v>101</v>
      </c>
      <c r="D90">
        <v>60.9</v>
      </c>
      <c r="E90" s="5" t="s">
        <v>29</v>
      </c>
      <c r="F90" s="5">
        <v>0</v>
      </c>
      <c r="H90" s="416"/>
    </row>
    <row r="91" spans="1:8">
      <c r="A91" s="20">
        <v>1.1322000000000001</v>
      </c>
      <c r="B91" t="s">
        <v>102</v>
      </c>
      <c r="D91">
        <v>7</v>
      </c>
      <c r="E91" s="5" t="s">
        <v>29</v>
      </c>
      <c r="F91" s="5">
        <v>0</v>
      </c>
      <c r="H91" s="416"/>
    </row>
    <row r="92" spans="1:8">
      <c r="A92" s="19">
        <v>1.133</v>
      </c>
      <c r="B92" t="s">
        <v>42</v>
      </c>
      <c r="E92" s="5" t="s">
        <v>30</v>
      </c>
      <c r="F92" s="5">
        <v>0</v>
      </c>
      <c r="H92" s="416"/>
    </row>
    <row r="93" spans="1:8">
      <c r="A93" s="18">
        <v>1.1399999999999999</v>
      </c>
      <c r="B93" t="s">
        <v>43</v>
      </c>
      <c r="E93" s="5" t="s">
        <v>30</v>
      </c>
      <c r="F93" s="5">
        <v>0</v>
      </c>
      <c r="H93" s="416"/>
    </row>
    <row r="94" spans="1:8">
      <c r="A94" s="19">
        <v>1.141</v>
      </c>
      <c r="B94" t="s">
        <v>44</v>
      </c>
      <c r="E94" s="5" t="s">
        <v>30</v>
      </c>
      <c r="F94" s="5">
        <v>0</v>
      </c>
      <c r="H94" s="416"/>
    </row>
    <row r="95" spans="1:8">
      <c r="A95" s="19">
        <v>1.1419999999999999</v>
      </c>
      <c r="B95" t="s">
        <v>45</v>
      </c>
      <c r="E95" s="5" t="s">
        <v>30</v>
      </c>
      <c r="F95" s="5">
        <v>0</v>
      </c>
      <c r="H95" s="416"/>
    </row>
    <row r="96" spans="1:8">
      <c r="A96" s="19">
        <v>1.143</v>
      </c>
      <c r="B96" t="s">
        <v>46</v>
      </c>
      <c r="E96" s="5" t="s">
        <v>30</v>
      </c>
      <c r="F96" s="5">
        <v>0</v>
      </c>
      <c r="H96" s="416"/>
    </row>
    <row r="97" spans="1:8">
      <c r="A97" s="18">
        <v>1.1499999999999999</v>
      </c>
      <c r="B97" t="s">
        <v>47</v>
      </c>
      <c r="D97">
        <v>108</v>
      </c>
      <c r="E97" s="5" t="s">
        <v>30</v>
      </c>
      <c r="F97" s="5">
        <v>0</v>
      </c>
      <c r="H97" s="416"/>
    </row>
    <row r="98" spans="1:8">
      <c r="A98" s="18">
        <v>1.1599999999999999</v>
      </c>
      <c r="B98" t="s">
        <v>48</v>
      </c>
      <c r="E98" s="5" t="s">
        <v>30</v>
      </c>
      <c r="F98" s="5">
        <v>0</v>
      </c>
      <c r="H98" s="416"/>
    </row>
    <row r="99" spans="1:8">
      <c r="A99" s="17">
        <v>1.2</v>
      </c>
      <c r="B99" t="s">
        <v>49</v>
      </c>
      <c r="E99" s="5" t="s">
        <v>30</v>
      </c>
      <c r="F99" s="5">
        <v>0</v>
      </c>
      <c r="H99" s="416"/>
    </row>
    <row r="100" spans="1:8">
      <c r="A100" s="18">
        <v>1.21</v>
      </c>
      <c r="B100" t="s">
        <v>50</v>
      </c>
      <c r="E100" s="5" t="s">
        <v>30</v>
      </c>
      <c r="F100" s="5">
        <v>0</v>
      </c>
      <c r="H100" s="416"/>
    </row>
    <row r="101" spans="1:8">
      <c r="A101" s="18">
        <v>1.22</v>
      </c>
      <c r="B101" t="s">
        <v>51</v>
      </c>
      <c r="E101" s="5" t="s">
        <v>30</v>
      </c>
      <c r="F101" s="5">
        <v>0</v>
      </c>
      <c r="H101" s="416"/>
    </row>
    <row r="102" spans="1:8">
      <c r="A102" s="18">
        <v>1.23</v>
      </c>
      <c r="B102" t="s">
        <v>52</v>
      </c>
      <c r="E102" s="5" t="s">
        <v>30</v>
      </c>
      <c r="F102" s="5">
        <v>0</v>
      </c>
      <c r="H102" s="416"/>
    </row>
    <row r="103" spans="1:8">
      <c r="A103" s="18">
        <v>1.24</v>
      </c>
      <c r="B103" t="s">
        <v>53</v>
      </c>
      <c r="E103" s="5" t="s">
        <v>30</v>
      </c>
      <c r="F103" s="5">
        <v>0</v>
      </c>
      <c r="H103" s="416"/>
    </row>
    <row r="104" spans="1:8">
      <c r="A104" s="18">
        <v>1.25</v>
      </c>
      <c r="B104" t="s">
        <v>54</v>
      </c>
      <c r="E104" s="5" t="s">
        <v>30</v>
      </c>
      <c r="F104" s="5">
        <v>0</v>
      </c>
      <c r="H104" s="416"/>
    </row>
    <row r="105" spans="1:8">
      <c r="A105" s="18">
        <v>1.26</v>
      </c>
      <c r="B105" t="s">
        <v>55</v>
      </c>
      <c r="E105" s="5" t="s">
        <v>30</v>
      </c>
      <c r="F105" s="5">
        <v>0</v>
      </c>
      <c r="H105" s="416"/>
    </row>
    <row r="106" spans="1:8">
      <c r="A106" s="18">
        <v>1.27</v>
      </c>
      <c r="B106" t="s">
        <v>56</v>
      </c>
      <c r="E106" s="5" t="s">
        <v>30</v>
      </c>
      <c r="F106" s="5">
        <v>0</v>
      </c>
      <c r="H106" s="416"/>
    </row>
    <row r="107" spans="1:8">
      <c r="A107" s="18">
        <v>1.28</v>
      </c>
      <c r="B107" t="s">
        <v>57</v>
      </c>
      <c r="E107" s="5" t="s">
        <v>30</v>
      </c>
      <c r="F107" s="5">
        <v>0</v>
      </c>
      <c r="H107" s="416"/>
    </row>
    <row r="108" spans="1:8">
      <c r="A108" s="17">
        <v>1.3</v>
      </c>
      <c r="B108" t="s">
        <v>58</v>
      </c>
      <c r="C108">
        <v>212.6</v>
      </c>
      <c r="D108">
        <v>9.3000000000000007</v>
      </c>
      <c r="E108" s="5" t="s">
        <v>29</v>
      </c>
      <c r="F108" s="5">
        <v>0</v>
      </c>
      <c r="H108" s="416"/>
    </row>
    <row r="109" spans="1:8">
      <c r="A109" s="15"/>
      <c r="D109">
        <v>429.8</v>
      </c>
      <c r="E109" s="5" t="s">
        <v>30</v>
      </c>
      <c r="F109" s="5"/>
      <c r="H109" s="416"/>
    </row>
    <row r="110" spans="1:8">
      <c r="A110" s="17">
        <v>1.31</v>
      </c>
      <c r="B110" t="s">
        <v>59</v>
      </c>
      <c r="E110" s="5" t="s">
        <v>30</v>
      </c>
      <c r="F110" s="5">
        <v>0</v>
      </c>
      <c r="H110" s="416"/>
    </row>
    <row r="111" spans="1:8">
      <c r="A111" s="18">
        <v>1.3109999999999999</v>
      </c>
      <c r="B111" t="s">
        <v>60</v>
      </c>
      <c r="E111" s="5" t="s">
        <v>30</v>
      </c>
      <c r="F111" s="5">
        <v>0</v>
      </c>
      <c r="H111" s="416"/>
    </row>
    <row r="112" spans="1:8">
      <c r="A112" s="19">
        <v>1.3111999999999999</v>
      </c>
      <c r="B112" t="s">
        <v>103</v>
      </c>
      <c r="E112" s="5" t="s">
        <v>30</v>
      </c>
      <c r="F112" s="5">
        <v>0</v>
      </c>
      <c r="H112" s="416"/>
    </row>
    <row r="113" spans="1:8">
      <c r="A113" s="18">
        <v>1.3120000000000001</v>
      </c>
      <c r="B113" t="s">
        <v>61</v>
      </c>
      <c r="E113" s="5" t="s">
        <v>30</v>
      </c>
      <c r="F113" s="5">
        <v>0</v>
      </c>
      <c r="H113" s="416"/>
    </row>
    <row r="114" spans="1:8">
      <c r="A114" s="19">
        <v>1.3123</v>
      </c>
      <c r="B114" t="s">
        <v>62</v>
      </c>
      <c r="E114" s="5" t="s">
        <v>30</v>
      </c>
      <c r="F114" s="5">
        <v>0</v>
      </c>
      <c r="H114" s="416"/>
    </row>
    <row r="115" spans="1:8">
      <c r="A115" s="17">
        <v>1.32</v>
      </c>
      <c r="B115" t="s">
        <v>63</v>
      </c>
      <c r="D115">
        <v>9.3000000000000007</v>
      </c>
      <c r="E115" s="5" t="s">
        <v>29</v>
      </c>
      <c r="F115" s="5">
        <v>0</v>
      </c>
      <c r="H115" s="416"/>
    </row>
    <row r="116" spans="1:8">
      <c r="A116" s="18">
        <v>1.321</v>
      </c>
      <c r="B116" t="s">
        <v>64</v>
      </c>
      <c r="D116">
        <v>9.3000000000000007</v>
      </c>
      <c r="E116" s="5" t="s">
        <v>29</v>
      </c>
      <c r="F116" s="5">
        <v>0</v>
      </c>
      <c r="H116" s="416"/>
    </row>
    <row r="117" spans="1:8">
      <c r="A117" s="19">
        <v>1.3211999999999999</v>
      </c>
      <c r="B117" t="s">
        <v>65</v>
      </c>
      <c r="D117">
        <v>9.3000000000000007</v>
      </c>
      <c r="E117" s="5" t="s">
        <v>29</v>
      </c>
      <c r="F117" s="5">
        <v>0</v>
      </c>
      <c r="H117" s="416"/>
    </row>
    <row r="118" spans="1:8">
      <c r="A118" s="20">
        <v>1.3212010000000001</v>
      </c>
      <c r="B118" t="s">
        <v>329</v>
      </c>
      <c r="D118">
        <v>9.3000000000000007</v>
      </c>
      <c r="E118" s="5" t="s">
        <v>29</v>
      </c>
      <c r="F118" s="5">
        <v>1</v>
      </c>
      <c r="H118" s="416"/>
    </row>
    <row r="119" spans="1:8">
      <c r="A119" s="18">
        <v>1.3220000000000001</v>
      </c>
      <c r="B119" t="s">
        <v>66</v>
      </c>
      <c r="E119" s="5" t="s">
        <v>30</v>
      </c>
      <c r="F119" s="5">
        <v>0</v>
      </c>
      <c r="H119" s="416"/>
    </row>
    <row r="120" spans="1:8">
      <c r="A120" s="18">
        <v>1.323</v>
      </c>
      <c r="B120" t="s">
        <v>67</v>
      </c>
      <c r="E120" s="5" t="s">
        <v>30</v>
      </c>
      <c r="F120" s="5">
        <v>0</v>
      </c>
      <c r="H120" s="416"/>
    </row>
    <row r="121" spans="1:8">
      <c r="A121" s="17">
        <v>1.33</v>
      </c>
      <c r="B121" t="s">
        <v>68</v>
      </c>
      <c r="E121" s="5" t="s">
        <v>30</v>
      </c>
      <c r="F121" s="5">
        <v>0</v>
      </c>
      <c r="H121" s="416"/>
    </row>
    <row r="122" spans="1:8">
      <c r="A122" s="18">
        <v>1.331</v>
      </c>
      <c r="B122" t="s">
        <v>69</v>
      </c>
      <c r="E122" s="5" t="s">
        <v>30</v>
      </c>
      <c r="F122" s="5">
        <v>0</v>
      </c>
      <c r="H122" s="416"/>
    </row>
    <row r="123" spans="1:8">
      <c r="A123" s="18">
        <v>1.3320000000000001</v>
      </c>
      <c r="B123" t="s">
        <v>70</v>
      </c>
      <c r="E123" s="5" t="s">
        <v>30</v>
      </c>
      <c r="F123" s="5">
        <v>0</v>
      </c>
      <c r="H123" s="416"/>
    </row>
    <row r="124" spans="1:8">
      <c r="A124" s="18">
        <v>1.3340000000000001</v>
      </c>
      <c r="B124" t="s">
        <v>71</v>
      </c>
      <c r="E124" s="5" t="s">
        <v>30</v>
      </c>
      <c r="F124" s="5">
        <v>0</v>
      </c>
      <c r="H124" s="416"/>
    </row>
    <row r="125" spans="1:8">
      <c r="A125" s="17">
        <v>1.34</v>
      </c>
      <c r="B125" t="s">
        <v>72</v>
      </c>
      <c r="E125" s="5" t="s">
        <v>30</v>
      </c>
      <c r="F125" s="5">
        <v>0</v>
      </c>
      <c r="H125" s="416"/>
    </row>
    <row r="126" spans="1:8">
      <c r="A126" s="18">
        <v>1.3420000000000001</v>
      </c>
      <c r="B126" t="s">
        <v>105</v>
      </c>
      <c r="E126" s="5" t="s">
        <v>30</v>
      </c>
      <c r="F126" s="5">
        <v>0</v>
      </c>
      <c r="H126" s="416"/>
    </row>
    <row r="127" spans="1:8">
      <c r="A127" s="17">
        <v>1.35</v>
      </c>
      <c r="B127" t="s">
        <v>73</v>
      </c>
      <c r="E127" s="5" t="s">
        <v>30</v>
      </c>
      <c r="F127" s="5">
        <v>0</v>
      </c>
      <c r="H127" s="416"/>
    </row>
    <row r="128" spans="1:8">
      <c r="A128" s="18">
        <v>1.353</v>
      </c>
      <c r="B128" t="s">
        <v>74</v>
      </c>
      <c r="E128" s="5" t="s">
        <v>30</v>
      </c>
      <c r="F128" s="5">
        <v>0</v>
      </c>
      <c r="H128" s="416"/>
    </row>
    <row r="129" spans="1:8">
      <c r="A129" s="17">
        <v>1.36</v>
      </c>
      <c r="B129" t="s">
        <v>75</v>
      </c>
      <c r="E129" s="5" t="s">
        <v>30</v>
      </c>
      <c r="F129" s="5">
        <v>0</v>
      </c>
      <c r="H129" s="416"/>
    </row>
    <row r="130" spans="1:8">
      <c r="A130" s="18">
        <v>1.361</v>
      </c>
      <c r="B130" t="s">
        <v>76</v>
      </c>
      <c r="E130" s="5" t="s">
        <v>30</v>
      </c>
      <c r="F130" s="5">
        <v>0</v>
      </c>
      <c r="H130" s="416"/>
    </row>
    <row r="131" spans="1:8">
      <c r="A131" s="18">
        <v>1.369</v>
      </c>
      <c r="B131" t="s">
        <v>106</v>
      </c>
      <c r="E131" s="5" t="s">
        <v>30</v>
      </c>
      <c r="F131" s="5">
        <v>0</v>
      </c>
      <c r="H131" s="416"/>
    </row>
    <row r="132" spans="1:8">
      <c r="A132" s="17">
        <v>1.37</v>
      </c>
      <c r="B132" t="s">
        <v>77</v>
      </c>
      <c r="D132">
        <v>179.9</v>
      </c>
      <c r="E132" s="5" t="s">
        <v>30</v>
      </c>
      <c r="F132" s="5">
        <v>0</v>
      </c>
      <c r="H132" s="416"/>
    </row>
    <row r="133" spans="1:8">
      <c r="A133" s="18">
        <v>1.3720000000000001</v>
      </c>
      <c r="B133" t="s">
        <v>78</v>
      </c>
      <c r="E133" s="5" t="s">
        <v>30</v>
      </c>
      <c r="F133" s="5">
        <v>0</v>
      </c>
      <c r="H133" s="416"/>
    </row>
    <row r="134" spans="1:8">
      <c r="A134" s="18">
        <v>1.373</v>
      </c>
      <c r="B134" t="s">
        <v>79</v>
      </c>
      <c r="E134" s="5" t="s">
        <v>30</v>
      </c>
      <c r="F134" s="5">
        <v>0</v>
      </c>
      <c r="H134" s="416"/>
    </row>
    <row r="135" spans="1:8">
      <c r="A135" s="18">
        <v>1.3740000000000001</v>
      </c>
      <c r="B135" t="s">
        <v>80</v>
      </c>
      <c r="D135">
        <v>179.9</v>
      </c>
      <c r="E135" s="5" t="s">
        <v>30</v>
      </c>
      <c r="F135" s="5">
        <v>0</v>
      </c>
      <c r="H135" s="416"/>
    </row>
    <row r="136" spans="1:8">
      <c r="A136" s="17">
        <v>1.38</v>
      </c>
      <c r="B136" t="s">
        <v>81</v>
      </c>
      <c r="C136">
        <v>212.6</v>
      </c>
      <c r="E136" s="5" t="s">
        <v>30</v>
      </c>
      <c r="F136" s="5">
        <v>0</v>
      </c>
      <c r="H136" s="416"/>
    </row>
    <row r="137" spans="1:8">
      <c r="A137" s="18">
        <v>1.381</v>
      </c>
      <c r="B137" t="s">
        <v>82</v>
      </c>
      <c r="C137">
        <v>212.6</v>
      </c>
      <c r="E137" s="5" t="s">
        <v>30</v>
      </c>
      <c r="F137" s="5">
        <v>0</v>
      </c>
      <c r="H137" s="416"/>
    </row>
    <row r="138" spans="1:8">
      <c r="A138" s="19">
        <v>1.3811</v>
      </c>
      <c r="B138" t="s">
        <v>83</v>
      </c>
      <c r="E138" s="5" t="s">
        <v>30</v>
      </c>
      <c r="F138" s="5">
        <v>0</v>
      </c>
      <c r="H138" s="416"/>
    </row>
    <row r="139" spans="1:8">
      <c r="A139" s="19">
        <v>1.3812</v>
      </c>
      <c r="B139" t="s">
        <v>84</v>
      </c>
      <c r="E139" s="5" t="s">
        <v>30</v>
      </c>
      <c r="F139" s="5">
        <v>0</v>
      </c>
      <c r="H139" s="416"/>
    </row>
    <row r="140" spans="1:8">
      <c r="A140" s="19">
        <v>1.3813</v>
      </c>
      <c r="B140" t="s">
        <v>85</v>
      </c>
      <c r="C140">
        <v>212.6</v>
      </c>
      <c r="E140" s="5" t="s">
        <v>30</v>
      </c>
      <c r="F140" s="5">
        <v>0</v>
      </c>
      <c r="H140" s="416"/>
    </row>
    <row r="141" spans="1:8">
      <c r="A141" s="17">
        <v>1.39</v>
      </c>
      <c r="B141" t="s">
        <v>86</v>
      </c>
      <c r="E141" s="5" t="s">
        <v>30</v>
      </c>
      <c r="F141" s="5">
        <v>0</v>
      </c>
      <c r="H141" s="416"/>
    </row>
    <row r="142" spans="1:8">
      <c r="A142" s="18">
        <v>1.391</v>
      </c>
      <c r="B142" t="s">
        <v>87</v>
      </c>
      <c r="E142" s="5" t="s">
        <v>30</v>
      </c>
      <c r="F142" s="5">
        <v>0</v>
      </c>
      <c r="H142" s="416"/>
    </row>
    <row r="143" spans="1:8">
      <c r="A143" s="19">
        <v>1.3911</v>
      </c>
      <c r="B143" t="s">
        <v>88</v>
      </c>
      <c r="E143" s="5" t="s">
        <v>30</v>
      </c>
      <c r="F143" s="5">
        <v>0</v>
      </c>
      <c r="H143" s="416"/>
    </row>
    <row r="144" spans="1:8">
      <c r="A144" s="17">
        <v>1.5</v>
      </c>
      <c r="B144" t="s">
        <v>89</v>
      </c>
      <c r="E144" s="5" t="s">
        <v>30</v>
      </c>
      <c r="F144" s="5">
        <v>0</v>
      </c>
      <c r="H144" s="416"/>
    </row>
    <row r="145" spans="1:8">
      <c r="A145" s="19">
        <v>1.5310999999999999</v>
      </c>
      <c r="B145" t="s">
        <v>90</v>
      </c>
      <c r="E145" s="5" t="s">
        <v>30</v>
      </c>
      <c r="F145" s="5">
        <v>0</v>
      </c>
      <c r="H145" s="416"/>
    </row>
    <row r="146" spans="1:8">
      <c r="A146" s="17">
        <v>1.6</v>
      </c>
      <c r="B146" t="s">
        <v>91</v>
      </c>
      <c r="E146" s="5" t="s">
        <v>30</v>
      </c>
      <c r="F146" s="5">
        <v>0</v>
      </c>
      <c r="H146" s="416"/>
    </row>
    <row r="147" spans="1:8">
      <c r="A147" s="17">
        <v>1.7</v>
      </c>
      <c r="B147" t="s">
        <v>92</v>
      </c>
      <c r="D147">
        <v>9.3000000000000007</v>
      </c>
      <c r="E147" s="5" t="s">
        <v>29</v>
      </c>
      <c r="F147" s="5">
        <v>0</v>
      </c>
      <c r="H147" s="416"/>
    </row>
    <row r="148" spans="1:8">
      <c r="A148" s="15"/>
      <c r="D148">
        <v>7</v>
      </c>
      <c r="E148" s="5" t="s">
        <v>30</v>
      </c>
      <c r="F148" s="5"/>
      <c r="H148" s="416"/>
    </row>
    <row r="149" spans="1:8">
      <c r="A149" s="18">
        <v>1.71</v>
      </c>
      <c r="B149" t="s">
        <v>67</v>
      </c>
      <c r="E149" s="5" t="s">
        <v>30</v>
      </c>
      <c r="F149" s="5">
        <v>0</v>
      </c>
      <c r="H149" s="416"/>
    </row>
    <row r="150" spans="1:8">
      <c r="A150" s="18">
        <v>1.72</v>
      </c>
      <c r="B150" t="s">
        <v>78</v>
      </c>
      <c r="D150">
        <v>9.3000000000000007</v>
      </c>
      <c r="E150" s="5" t="s">
        <v>29</v>
      </c>
      <c r="F150" s="5">
        <v>0</v>
      </c>
      <c r="H150" s="416"/>
    </row>
    <row r="151" spans="1:8">
      <c r="A151" s="18">
        <v>1.73</v>
      </c>
      <c r="B151" t="s">
        <v>79</v>
      </c>
      <c r="E151" s="5" t="s">
        <v>30</v>
      </c>
      <c r="F151" s="5">
        <v>0</v>
      </c>
      <c r="H151" s="416"/>
    </row>
    <row r="152" spans="1:8">
      <c r="A152" s="18">
        <v>1.74</v>
      </c>
      <c r="B152" t="s">
        <v>80</v>
      </c>
      <c r="E152" s="5" t="s">
        <v>30</v>
      </c>
      <c r="F152" s="5">
        <v>0</v>
      </c>
      <c r="H152" s="416"/>
    </row>
    <row r="153" spans="1:8">
      <c r="A153" s="18">
        <v>1.75</v>
      </c>
      <c r="B153" t="s">
        <v>93</v>
      </c>
      <c r="D153">
        <v>7</v>
      </c>
      <c r="E153" s="5" t="s">
        <v>30</v>
      </c>
      <c r="F153" s="5">
        <v>0</v>
      </c>
      <c r="H153" s="416"/>
    </row>
    <row r="154" spans="1:8">
      <c r="A154" s="17">
        <v>1.8</v>
      </c>
      <c r="B154" t="s">
        <v>94</v>
      </c>
      <c r="E154" s="5" t="s">
        <v>30</v>
      </c>
      <c r="F154" s="5">
        <v>0</v>
      </c>
      <c r="H154" s="416"/>
    </row>
    <row r="155" spans="1:8">
      <c r="A155" s="17">
        <v>1.9</v>
      </c>
      <c r="B155" t="s">
        <v>95</v>
      </c>
      <c r="D155">
        <v>29.7</v>
      </c>
      <c r="E155" s="5" t="s">
        <v>30</v>
      </c>
      <c r="F155" s="5">
        <v>0</v>
      </c>
      <c r="H155" s="416"/>
    </row>
    <row r="156" spans="1:8">
      <c r="A156" s="18">
        <v>1.91</v>
      </c>
      <c r="B156" t="s">
        <v>96</v>
      </c>
      <c r="D156">
        <v>7.5</v>
      </c>
      <c r="E156" s="5" t="s">
        <v>30</v>
      </c>
      <c r="F156" s="5">
        <v>0</v>
      </c>
      <c r="H156" s="416"/>
    </row>
    <row r="157" spans="1:8">
      <c r="A157" s="18">
        <v>1.92</v>
      </c>
      <c r="B157" t="s">
        <v>97</v>
      </c>
      <c r="E157" s="5" t="s">
        <v>30</v>
      </c>
      <c r="F157" s="5">
        <v>0</v>
      </c>
      <c r="H157" s="416"/>
    </row>
    <row r="158" spans="1:8">
      <c r="A158" s="18">
        <v>1.93</v>
      </c>
      <c r="B158" t="s">
        <v>98</v>
      </c>
      <c r="E158" s="5" t="s">
        <v>30</v>
      </c>
      <c r="F158" s="5">
        <v>0</v>
      </c>
      <c r="H158" s="416"/>
    </row>
    <row r="159" spans="1:8">
      <c r="A159" s="18">
        <v>1.94</v>
      </c>
      <c r="B159" t="s">
        <v>99</v>
      </c>
      <c r="D159">
        <v>15</v>
      </c>
      <c r="E159" s="5" t="s">
        <v>30</v>
      </c>
      <c r="F159" s="5">
        <v>0</v>
      </c>
      <c r="H159" s="416"/>
    </row>
    <row r="160" spans="1:8">
      <c r="A160" s="18">
        <v>1.95</v>
      </c>
      <c r="B160" t="s">
        <v>100</v>
      </c>
      <c r="D160">
        <v>7</v>
      </c>
      <c r="E160" s="5" t="s">
        <v>30</v>
      </c>
      <c r="F160" s="5">
        <v>0</v>
      </c>
      <c r="H160" s="416"/>
    </row>
    <row r="161" spans="1:8">
      <c r="A161" s="16"/>
      <c r="E161" s="5"/>
      <c r="F161" s="5"/>
      <c r="H161" s="417"/>
    </row>
    <row r="162" spans="1:8">
      <c r="A162" s="15" t="s">
        <v>331</v>
      </c>
      <c r="E162" s="5"/>
      <c r="F162" s="5"/>
    </row>
    <row r="163" spans="1:8">
      <c r="A163" s="15">
        <v>2</v>
      </c>
      <c r="B163" t="s">
        <v>107</v>
      </c>
      <c r="D163">
        <v>2101.5</v>
      </c>
      <c r="E163" s="5" t="s">
        <v>28</v>
      </c>
      <c r="F163" s="5">
        <v>0</v>
      </c>
      <c r="H163" s="416"/>
    </row>
    <row r="164" spans="1:8">
      <c r="A164" s="17"/>
      <c r="D164">
        <v>51.5</v>
      </c>
      <c r="E164" s="5" t="s">
        <v>29</v>
      </c>
      <c r="F164" s="5"/>
      <c r="H164" s="416"/>
    </row>
    <row r="165" spans="1:8">
      <c r="A165" s="15"/>
      <c r="D165">
        <v>2050.1</v>
      </c>
      <c r="E165" s="5" t="s">
        <v>30</v>
      </c>
      <c r="F165" s="5"/>
      <c r="H165" s="416"/>
    </row>
    <row r="166" spans="1:8">
      <c r="A166" s="17">
        <v>2.1</v>
      </c>
      <c r="B166" t="s">
        <v>108</v>
      </c>
      <c r="D166">
        <v>51.5</v>
      </c>
      <c r="E166" s="5" t="s">
        <v>29</v>
      </c>
      <c r="F166" s="5">
        <v>0</v>
      </c>
      <c r="H166" s="416"/>
    </row>
    <row r="167" spans="1:8">
      <c r="A167" s="15"/>
      <c r="D167">
        <v>1141.3</v>
      </c>
      <c r="E167" s="5" t="s">
        <v>30</v>
      </c>
      <c r="F167" s="5"/>
      <c r="H167" s="416"/>
    </row>
    <row r="168" spans="1:8">
      <c r="A168" s="18">
        <v>2.11</v>
      </c>
      <c r="B168" t="s">
        <v>109</v>
      </c>
      <c r="D168">
        <v>49.2</v>
      </c>
      <c r="E168" s="5" t="s">
        <v>29</v>
      </c>
      <c r="F168" s="5">
        <v>0</v>
      </c>
      <c r="H168" s="416"/>
    </row>
    <row r="169" spans="1:8">
      <c r="A169" s="15"/>
      <c r="D169">
        <v>284.7</v>
      </c>
      <c r="E169" s="5" t="s">
        <v>30</v>
      </c>
      <c r="F169" s="5"/>
      <c r="H169" s="416"/>
    </row>
    <row r="170" spans="1:8">
      <c r="A170" s="19">
        <v>2.1110000000000002</v>
      </c>
      <c r="B170" t="s">
        <v>110</v>
      </c>
      <c r="D170">
        <v>44.5</v>
      </c>
      <c r="E170" s="5" t="s">
        <v>29</v>
      </c>
      <c r="F170" s="5">
        <v>0</v>
      </c>
      <c r="H170" s="416"/>
    </row>
    <row r="171" spans="1:8">
      <c r="A171" s="15"/>
      <c r="D171">
        <v>250.8</v>
      </c>
      <c r="E171" s="5" t="s">
        <v>30</v>
      </c>
      <c r="F171" s="5"/>
      <c r="H171" s="416"/>
    </row>
    <row r="172" spans="1:8">
      <c r="A172" s="20">
        <v>2.1111</v>
      </c>
      <c r="B172" t="s">
        <v>111</v>
      </c>
      <c r="D172">
        <v>44.5</v>
      </c>
      <c r="E172" s="5" t="s">
        <v>29</v>
      </c>
      <c r="F172" s="5">
        <v>0</v>
      </c>
      <c r="H172" s="416"/>
    </row>
    <row r="173" spans="1:8">
      <c r="A173" s="15"/>
      <c r="D173">
        <v>250.8</v>
      </c>
      <c r="E173" s="5" t="s">
        <v>30</v>
      </c>
      <c r="F173" s="5"/>
      <c r="H173" s="416"/>
    </row>
    <row r="174" spans="1:8">
      <c r="A174" s="21">
        <v>2.1111100999999999</v>
      </c>
      <c r="B174" t="s">
        <v>177</v>
      </c>
      <c r="D174">
        <v>28.3</v>
      </c>
      <c r="E174" s="5" t="s">
        <v>29</v>
      </c>
      <c r="F174" s="5">
        <v>1</v>
      </c>
      <c r="H174" s="416"/>
    </row>
    <row r="175" spans="1:8">
      <c r="A175" s="21">
        <v>2.1111103999999998</v>
      </c>
      <c r="B175" t="s">
        <v>178</v>
      </c>
      <c r="D175">
        <v>16.3</v>
      </c>
      <c r="E175" s="5" t="s">
        <v>29</v>
      </c>
      <c r="F175" s="5">
        <v>1</v>
      </c>
      <c r="H175" s="416"/>
    </row>
    <row r="176" spans="1:8">
      <c r="A176" s="21">
        <v>2.1111206</v>
      </c>
      <c r="B176" t="s">
        <v>179</v>
      </c>
      <c r="D176">
        <v>13.9</v>
      </c>
      <c r="E176" s="5" t="s">
        <v>30</v>
      </c>
      <c r="F176" s="5">
        <v>1</v>
      </c>
      <c r="H176" s="416"/>
    </row>
    <row r="177" spans="1:8">
      <c r="A177" s="22">
        <v>2.1111230000000001</v>
      </c>
      <c r="B177" t="s">
        <v>180</v>
      </c>
      <c r="D177">
        <v>44.6</v>
      </c>
      <c r="E177" t="s">
        <v>30</v>
      </c>
      <c r="F177">
        <v>4</v>
      </c>
      <c r="H177" s="416"/>
    </row>
    <row r="178" spans="1:8">
      <c r="A178" s="21">
        <v>2.1111301999999998</v>
      </c>
      <c r="B178" t="s">
        <v>181</v>
      </c>
      <c r="D178">
        <v>192.3</v>
      </c>
      <c r="E178" t="s">
        <v>30</v>
      </c>
      <c r="F178">
        <v>18</v>
      </c>
      <c r="H178" s="416"/>
    </row>
    <row r="179" spans="1:8">
      <c r="A179" s="20">
        <v>2.1114000000000002</v>
      </c>
      <c r="B179" t="s">
        <v>112</v>
      </c>
      <c r="E179" t="s">
        <v>30</v>
      </c>
      <c r="F179">
        <v>0</v>
      </c>
      <c r="H179" s="416"/>
    </row>
    <row r="180" spans="1:8">
      <c r="A180" s="20">
        <v>2.1114999999999999</v>
      </c>
      <c r="B180" t="s">
        <v>113</v>
      </c>
      <c r="E180" t="s">
        <v>30</v>
      </c>
      <c r="F180">
        <v>0</v>
      </c>
      <c r="H180" s="416"/>
    </row>
    <row r="181" spans="1:8">
      <c r="A181" s="19">
        <v>2.1120000000000001</v>
      </c>
      <c r="B181" t="s">
        <v>114</v>
      </c>
      <c r="D181">
        <v>4.5</v>
      </c>
      <c r="E181" t="s">
        <v>29</v>
      </c>
      <c r="F181">
        <v>0</v>
      </c>
      <c r="H181" s="416"/>
    </row>
    <row r="182" spans="1:8">
      <c r="A182" s="15"/>
      <c r="D182">
        <v>33.700000000000003</v>
      </c>
      <c r="E182" t="s">
        <v>30</v>
      </c>
      <c r="H182" s="416"/>
    </row>
    <row r="183" spans="1:8">
      <c r="A183" s="20">
        <v>2.1120999999999999</v>
      </c>
      <c r="B183" t="s">
        <v>111</v>
      </c>
      <c r="D183">
        <v>4.5</v>
      </c>
      <c r="E183" t="s">
        <v>29</v>
      </c>
      <c r="F183">
        <v>0</v>
      </c>
      <c r="H183" s="416"/>
    </row>
    <row r="184" spans="1:8">
      <c r="A184" s="15"/>
      <c r="D184">
        <v>33.700000000000003</v>
      </c>
      <c r="E184" t="s">
        <v>30</v>
      </c>
      <c r="H184" s="416"/>
    </row>
    <row r="185" spans="1:8">
      <c r="A185" s="21">
        <v>2.1121101000000002</v>
      </c>
      <c r="B185" t="s">
        <v>182</v>
      </c>
      <c r="D185">
        <v>4.5</v>
      </c>
      <c r="E185" t="s">
        <v>29</v>
      </c>
      <c r="F185">
        <v>1</v>
      </c>
      <c r="H185" s="416"/>
    </row>
    <row r="186" spans="1:8">
      <c r="A186" s="21">
        <v>2.1121200999999998</v>
      </c>
      <c r="B186" t="s">
        <v>184</v>
      </c>
      <c r="D186">
        <v>2.7</v>
      </c>
      <c r="E186" t="s">
        <v>30</v>
      </c>
      <c r="F186">
        <v>1</v>
      </c>
      <c r="H186" s="416"/>
    </row>
    <row r="187" spans="1:8">
      <c r="A187" s="21">
        <v>2.1121203</v>
      </c>
      <c r="B187" t="s">
        <v>183</v>
      </c>
      <c r="D187">
        <v>4.2</v>
      </c>
      <c r="E187" t="s">
        <v>30</v>
      </c>
      <c r="F187">
        <v>2</v>
      </c>
      <c r="H187" s="416"/>
    </row>
    <row r="188" spans="1:8">
      <c r="A188" s="21">
        <v>2.1121303</v>
      </c>
      <c r="B188" t="s">
        <v>185</v>
      </c>
      <c r="D188">
        <v>26.8</v>
      </c>
      <c r="E188" t="s">
        <v>30</v>
      </c>
      <c r="F188">
        <v>3</v>
      </c>
      <c r="H188" s="416"/>
    </row>
    <row r="189" spans="1:8">
      <c r="A189" s="20">
        <v>2.1124000000000001</v>
      </c>
      <c r="B189" t="s">
        <v>112</v>
      </c>
      <c r="E189" t="s">
        <v>30</v>
      </c>
      <c r="F189">
        <v>0</v>
      </c>
      <c r="H189" s="416"/>
    </row>
    <row r="190" spans="1:8">
      <c r="A190" s="20">
        <v>2.1124999999999998</v>
      </c>
      <c r="B190" t="s">
        <v>113</v>
      </c>
      <c r="E190" t="s">
        <v>30</v>
      </c>
      <c r="F190">
        <v>0</v>
      </c>
      <c r="H190" s="416"/>
    </row>
    <row r="191" spans="1:8">
      <c r="A191" s="18">
        <v>2.12</v>
      </c>
      <c r="B191" t="s">
        <v>115</v>
      </c>
      <c r="D191">
        <v>116.5</v>
      </c>
      <c r="E191" t="s">
        <v>30</v>
      </c>
      <c r="F191">
        <v>0</v>
      </c>
      <c r="H191" s="416"/>
    </row>
    <row r="192" spans="1:8">
      <c r="A192" s="19">
        <v>2.121</v>
      </c>
      <c r="B192" t="s">
        <v>110</v>
      </c>
      <c r="D192">
        <v>89.4</v>
      </c>
      <c r="E192" t="s">
        <v>30</v>
      </c>
      <c r="F192">
        <v>0</v>
      </c>
      <c r="H192" s="416"/>
    </row>
    <row r="193" spans="1:8">
      <c r="A193" s="20">
        <v>2.1211000000000002</v>
      </c>
      <c r="B193" t="s">
        <v>116</v>
      </c>
      <c r="D193">
        <v>89.4</v>
      </c>
      <c r="E193" t="s">
        <v>30</v>
      </c>
      <c r="F193">
        <v>3</v>
      </c>
      <c r="H193" s="416"/>
    </row>
    <row r="194" spans="1:8">
      <c r="A194" s="19">
        <v>2.1219999999999999</v>
      </c>
      <c r="B194" t="s">
        <v>114</v>
      </c>
      <c r="D194">
        <v>27</v>
      </c>
      <c r="E194" t="s">
        <v>30</v>
      </c>
      <c r="F194">
        <v>0</v>
      </c>
      <c r="H194" s="416"/>
    </row>
    <row r="195" spans="1:8">
      <c r="A195" s="20">
        <v>2.1221000000000001</v>
      </c>
      <c r="B195" t="s">
        <v>116</v>
      </c>
      <c r="D195">
        <v>27</v>
      </c>
      <c r="E195" t="s">
        <v>30</v>
      </c>
      <c r="F195">
        <v>3</v>
      </c>
      <c r="H195" s="416"/>
    </row>
    <row r="196" spans="1:8">
      <c r="A196" s="18">
        <v>2.13</v>
      </c>
      <c r="B196" t="s">
        <v>117</v>
      </c>
      <c r="D196">
        <v>713.2</v>
      </c>
      <c r="E196" t="s">
        <v>30</v>
      </c>
      <c r="F196">
        <v>0</v>
      </c>
      <c r="H196" s="416"/>
    </row>
    <row r="197" spans="1:8">
      <c r="A197" s="19">
        <v>2.1309999999999998</v>
      </c>
      <c r="B197" t="s">
        <v>110</v>
      </c>
      <c r="D197">
        <v>567</v>
      </c>
      <c r="E197" t="s">
        <v>30</v>
      </c>
      <c r="F197">
        <v>0</v>
      </c>
      <c r="H197" s="416"/>
    </row>
    <row r="198" spans="1:8">
      <c r="A198" s="20">
        <v>2.1311</v>
      </c>
      <c r="B198" t="s">
        <v>118</v>
      </c>
      <c r="D198">
        <v>567</v>
      </c>
      <c r="E198" t="s">
        <v>30</v>
      </c>
      <c r="F198">
        <v>0</v>
      </c>
      <c r="H198" s="416"/>
    </row>
    <row r="199" spans="1:8">
      <c r="A199" s="20">
        <v>2.1311</v>
      </c>
      <c r="B199" t="s">
        <v>330</v>
      </c>
      <c r="D199">
        <v>567</v>
      </c>
      <c r="E199" t="s">
        <v>30</v>
      </c>
      <c r="F199">
        <v>13</v>
      </c>
      <c r="H199" s="416"/>
    </row>
    <row r="200" spans="1:8">
      <c r="A200" s="19">
        <v>2.1320000000000001</v>
      </c>
      <c r="B200" t="s">
        <v>114</v>
      </c>
      <c r="D200">
        <v>117.2</v>
      </c>
      <c r="E200" t="s">
        <v>30</v>
      </c>
      <c r="F200">
        <v>0</v>
      </c>
      <c r="H200" s="416"/>
    </row>
    <row r="201" spans="1:8">
      <c r="A201" s="20">
        <v>2.1320999999999999</v>
      </c>
      <c r="B201" t="s">
        <v>118</v>
      </c>
      <c r="D201">
        <v>117.2</v>
      </c>
      <c r="E201" t="s">
        <v>30</v>
      </c>
      <c r="F201">
        <v>0</v>
      </c>
      <c r="H201" s="416"/>
    </row>
    <row r="202" spans="1:8">
      <c r="A202" s="20">
        <v>2.1320999999999999</v>
      </c>
      <c r="B202" t="s">
        <v>114</v>
      </c>
      <c r="D202">
        <v>117.2</v>
      </c>
      <c r="E202" t="s">
        <v>30</v>
      </c>
      <c r="F202">
        <v>13</v>
      </c>
      <c r="H202" s="416"/>
    </row>
    <row r="203" spans="1:8">
      <c r="A203" s="19">
        <v>2.133</v>
      </c>
      <c r="B203" t="s">
        <v>121</v>
      </c>
      <c r="D203">
        <v>29.1</v>
      </c>
      <c r="E203" t="s">
        <v>30</v>
      </c>
      <c r="F203">
        <v>0</v>
      </c>
      <c r="H203" s="416"/>
    </row>
    <row r="204" spans="1:8">
      <c r="A204" s="20">
        <v>2.1331000000000002</v>
      </c>
      <c r="B204" t="s">
        <v>186</v>
      </c>
      <c r="D204">
        <v>14.5</v>
      </c>
      <c r="E204" t="s">
        <v>30</v>
      </c>
      <c r="F204">
        <v>0</v>
      </c>
      <c r="H204" s="416"/>
    </row>
    <row r="205" spans="1:8">
      <c r="A205" s="20">
        <v>2.1332</v>
      </c>
      <c r="B205" t="s">
        <v>187</v>
      </c>
      <c r="D205">
        <v>14.5</v>
      </c>
      <c r="E205" t="s">
        <v>30</v>
      </c>
      <c r="F205">
        <v>0</v>
      </c>
      <c r="H205" s="416"/>
    </row>
    <row r="206" spans="1:8">
      <c r="A206" s="20">
        <v>2.1335999999999999</v>
      </c>
      <c r="B206" t="s">
        <v>188</v>
      </c>
      <c r="E206" t="s">
        <v>30</v>
      </c>
      <c r="F206">
        <v>0</v>
      </c>
      <c r="H206" s="416"/>
    </row>
    <row r="207" spans="1:8">
      <c r="A207" s="18">
        <v>2.14</v>
      </c>
      <c r="B207" t="s">
        <v>122</v>
      </c>
      <c r="D207">
        <v>2.2000000000000002</v>
      </c>
      <c r="E207" t="s">
        <v>29</v>
      </c>
      <c r="F207">
        <v>0</v>
      </c>
      <c r="H207" s="416"/>
    </row>
    <row r="208" spans="1:8">
      <c r="A208" s="17"/>
      <c r="D208">
        <v>10.1</v>
      </c>
      <c r="E208" t="s">
        <v>30</v>
      </c>
      <c r="H208" s="416"/>
    </row>
    <row r="209" spans="1:8">
      <c r="A209" s="19">
        <v>2.141</v>
      </c>
      <c r="B209" t="s">
        <v>189</v>
      </c>
      <c r="D209">
        <v>5.5</v>
      </c>
      <c r="E209" t="s">
        <v>30</v>
      </c>
      <c r="F209">
        <v>1</v>
      </c>
      <c r="H209" s="416"/>
    </row>
    <row r="210" spans="1:8">
      <c r="A210" s="19">
        <v>2.1419999999999999</v>
      </c>
      <c r="B210" t="s">
        <v>190</v>
      </c>
      <c r="D210">
        <v>2.2000000000000002</v>
      </c>
      <c r="E210" t="s">
        <v>29</v>
      </c>
      <c r="F210">
        <v>1</v>
      </c>
      <c r="H210" s="416"/>
    </row>
    <row r="211" spans="1:8">
      <c r="A211" s="19">
        <v>2.1429999999999998</v>
      </c>
      <c r="B211" t="s">
        <v>191</v>
      </c>
      <c r="D211">
        <v>2.2000000000000002</v>
      </c>
      <c r="E211" t="s">
        <v>30</v>
      </c>
      <c r="F211">
        <v>1</v>
      </c>
      <c r="H211" s="416"/>
    </row>
    <row r="212" spans="1:8">
      <c r="A212" s="19">
        <v>2.1440000000000001</v>
      </c>
      <c r="B212" t="s">
        <v>192</v>
      </c>
      <c r="D212">
        <v>2.2000000000000002</v>
      </c>
      <c r="E212" t="s">
        <v>30</v>
      </c>
      <c r="F212">
        <v>1</v>
      </c>
      <c r="H212" s="416"/>
    </row>
    <row r="213" spans="1:8">
      <c r="A213" s="18">
        <v>2.15</v>
      </c>
      <c r="B213" t="s">
        <v>123</v>
      </c>
      <c r="D213">
        <v>13.5</v>
      </c>
      <c r="E213" t="s">
        <v>30</v>
      </c>
      <c r="F213">
        <v>0</v>
      </c>
      <c r="H213" s="416"/>
    </row>
    <row r="214" spans="1:8">
      <c r="A214" s="19">
        <v>2.1509999999999998</v>
      </c>
      <c r="B214" t="s">
        <v>124</v>
      </c>
      <c r="D214">
        <v>7.2</v>
      </c>
      <c r="E214" t="s">
        <v>30</v>
      </c>
      <c r="F214">
        <v>0</v>
      </c>
      <c r="H214" s="416"/>
    </row>
    <row r="215" spans="1:8">
      <c r="A215" s="20">
        <v>2.1511</v>
      </c>
      <c r="B215" t="s">
        <v>193</v>
      </c>
      <c r="D215">
        <v>7.2</v>
      </c>
      <c r="E215" t="s">
        <v>30</v>
      </c>
      <c r="F215">
        <v>0</v>
      </c>
      <c r="H215" s="416"/>
    </row>
    <row r="216" spans="1:8">
      <c r="A216" s="19">
        <v>2.1520000000000001</v>
      </c>
      <c r="B216" t="s">
        <v>125</v>
      </c>
      <c r="D216">
        <v>1.9</v>
      </c>
      <c r="E216" t="s">
        <v>30</v>
      </c>
      <c r="F216">
        <v>0</v>
      </c>
      <c r="H216" s="416"/>
    </row>
    <row r="217" spans="1:8">
      <c r="A217" s="20">
        <v>2.1520999999999999</v>
      </c>
      <c r="B217" t="s">
        <v>194</v>
      </c>
      <c r="D217">
        <v>1.9</v>
      </c>
      <c r="E217" t="s">
        <v>30</v>
      </c>
      <c r="F217">
        <v>0</v>
      </c>
      <c r="H217" s="416"/>
    </row>
    <row r="218" spans="1:8">
      <c r="A218" s="19">
        <v>2.153</v>
      </c>
      <c r="B218" t="s">
        <v>126</v>
      </c>
      <c r="D218">
        <v>4.3</v>
      </c>
      <c r="E218" t="s">
        <v>30</v>
      </c>
      <c r="F218">
        <v>0</v>
      </c>
      <c r="H218" s="416"/>
    </row>
    <row r="219" spans="1:8">
      <c r="A219" s="20">
        <v>2.1532</v>
      </c>
      <c r="B219" t="s">
        <v>195</v>
      </c>
      <c r="D219">
        <v>4.3</v>
      </c>
      <c r="E219" t="s">
        <v>30</v>
      </c>
      <c r="F219">
        <v>0</v>
      </c>
      <c r="H219" s="416"/>
    </row>
    <row r="220" spans="1:8">
      <c r="A220" s="19">
        <v>2.1539999999999999</v>
      </c>
      <c r="B220" t="s">
        <v>127</v>
      </c>
      <c r="E220" t="s">
        <v>30</v>
      </c>
      <c r="F220">
        <v>0</v>
      </c>
      <c r="H220" s="416"/>
    </row>
    <row r="221" spans="1:8">
      <c r="A221" s="18">
        <v>2.16</v>
      </c>
      <c r="B221" t="s">
        <v>128</v>
      </c>
      <c r="D221">
        <v>3.2</v>
      </c>
      <c r="E221" t="s">
        <v>30</v>
      </c>
      <c r="F221">
        <v>0</v>
      </c>
      <c r="H221" s="416"/>
    </row>
    <row r="222" spans="1:8">
      <c r="A222" s="19">
        <v>2.1619999999999999</v>
      </c>
      <c r="B222" t="s">
        <v>196</v>
      </c>
      <c r="D222">
        <v>3.2</v>
      </c>
      <c r="E222" t="s">
        <v>30</v>
      </c>
      <c r="F222">
        <v>0</v>
      </c>
      <c r="H222" s="416"/>
    </row>
    <row r="223" spans="1:8">
      <c r="A223" s="17">
        <v>2.2000000000000002</v>
      </c>
      <c r="B223" t="s">
        <v>129</v>
      </c>
      <c r="D223">
        <v>529.6</v>
      </c>
      <c r="E223" t="s">
        <v>30</v>
      </c>
      <c r="F223">
        <v>0</v>
      </c>
      <c r="H223" s="416"/>
    </row>
    <row r="224" spans="1:8">
      <c r="A224" s="18">
        <v>2.21</v>
      </c>
      <c r="B224" t="s">
        <v>130</v>
      </c>
      <c r="D224">
        <v>300.8</v>
      </c>
      <c r="E224" t="s">
        <v>30</v>
      </c>
      <c r="F224">
        <v>0</v>
      </c>
      <c r="H224" s="416"/>
    </row>
    <row r="225" spans="1:8">
      <c r="A225" s="19">
        <v>2.2109999999999999</v>
      </c>
      <c r="B225" t="s">
        <v>131</v>
      </c>
      <c r="D225">
        <v>81.3</v>
      </c>
      <c r="E225" t="s">
        <v>30</v>
      </c>
      <c r="F225">
        <v>0</v>
      </c>
      <c r="H225" s="416"/>
    </row>
    <row r="226" spans="1:8">
      <c r="A226" s="20">
        <v>2.2111000000000001</v>
      </c>
      <c r="B226" t="s">
        <v>197</v>
      </c>
      <c r="D226">
        <v>81.3</v>
      </c>
      <c r="E226" t="s">
        <v>30</v>
      </c>
      <c r="F226">
        <v>0</v>
      </c>
      <c r="H226" s="416"/>
    </row>
    <row r="227" spans="1:8">
      <c r="A227" s="19">
        <v>2.2120000000000002</v>
      </c>
      <c r="B227" t="s">
        <v>132</v>
      </c>
      <c r="D227">
        <v>69.7</v>
      </c>
      <c r="E227" t="s">
        <v>30</v>
      </c>
      <c r="F227">
        <v>0</v>
      </c>
      <c r="H227" s="416"/>
    </row>
    <row r="228" spans="1:8">
      <c r="A228" s="20">
        <v>2.2121</v>
      </c>
      <c r="B228" t="s">
        <v>198</v>
      </c>
      <c r="D228">
        <v>69.7</v>
      </c>
      <c r="E228" t="s">
        <v>30</v>
      </c>
      <c r="F228">
        <v>0</v>
      </c>
      <c r="H228" s="416"/>
    </row>
    <row r="229" spans="1:8">
      <c r="A229" s="19">
        <v>2.2130000000000001</v>
      </c>
      <c r="B229" t="s">
        <v>133</v>
      </c>
      <c r="D229">
        <v>138.1</v>
      </c>
      <c r="E229" t="s">
        <v>30</v>
      </c>
      <c r="F229">
        <v>0</v>
      </c>
      <c r="H229" s="416"/>
    </row>
    <row r="230" spans="1:8">
      <c r="A230" s="20">
        <v>2.2130999999999998</v>
      </c>
      <c r="B230" t="s">
        <v>199</v>
      </c>
      <c r="D230">
        <v>20.7</v>
      </c>
      <c r="E230" t="s">
        <v>30</v>
      </c>
      <c r="F230">
        <v>0</v>
      </c>
      <c r="H230" s="416"/>
    </row>
    <row r="231" spans="1:8">
      <c r="A231" s="20">
        <v>2.2132999999999998</v>
      </c>
      <c r="B231" t="s">
        <v>200</v>
      </c>
      <c r="D231">
        <v>117.5</v>
      </c>
      <c r="E231" t="s">
        <v>30</v>
      </c>
      <c r="F231">
        <v>0</v>
      </c>
      <c r="H231" s="416"/>
    </row>
    <row r="232" spans="1:8">
      <c r="A232" s="19">
        <v>2.214</v>
      </c>
      <c r="B232" t="s">
        <v>134</v>
      </c>
      <c r="D232">
        <v>11.6</v>
      </c>
      <c r="E232" t="s">
        <v>30</v>
      </c>
      <c r="F232">
        <v>0</v>
      </c>
      <c r="H232" s="416"/>
    </row>
    <row r="233" spans="1:8">
      <c r="A233" s="20">
        <v>2.2141000000000002</v>
      </c>
      <c r="B233" t="s">
        <v>201</v>
      </c>
      <c r="D233">
        <v>11.6</v>
      </c>
      <c r="E233" t="s">
        <v>30</v>
      </c>
      <c r="F233">
        <v>0</v>
      </c>
      <c r="H233" s="416"/>
    </row>
    <row r="234" spans="1:8">
      <c r="A234" s="19">
        <v>2.2149999999999999</v>
      </c>
      <c r="B234" t="s">
        <v>113</v>
      </c>
      <c r="E234" t="s">
        <v>30</v>
      </c>
      <c r="F234">
        <v>0</v>
      </c>
      <c r="H234" s="416"/>
    </row>
    <row r="235" spans="1:8">
      <c r="A235" s="18">
        <v>2.2200000000000002</v>
      </c>
      <c r="B235" t="s">
        <v>135</v>
      </c>
      <c r="D235">
        <v>124.9</v>
      </c>
      <c r="E235" t="s">
        <v>30</v>
      </c>
      <c r="F235">
        <v>0</v>
      </c>
      <c r="H235" s="416"/>
    </row>
    <row r="236" spans="1:8">
      <c r="A236" s="19">
        <v>2.2210000000000001</v>
      </c>
      <c r="B236" t="s">
        <v>136</v>
      </c>
      <c r="E236" t="s">
        <v>30</v>
      </c>
      <c r="F236">
        <v>0</v>
      </c>
      <c r="H236" s="416"/>
    </row>
    <row r="237" spans="1:8">
      <c r="A237" s="19">
        <v>2.222</v>
      </c>
      <c r="B237" t="s">
        <v>137</v>
      </c>
      <c r="D237">
        <v>96.8</v>
      </c>
      <c r="E237" t="s">
        <v>30</v>
      </c>
      <c r="F237">
        <v>0</v>
      </c>
      <c r="H237" s="416"/>
    </row>
    <row r="238" spans="1:8">
      <c r="A238" s="20">
        <v>2.2221000000000002</v>
      </c>
      <c r="B238" t="s">
        <v>202</v>
      </c>
      <c r="D238">
        <v>10.6</v>
      </c>
      <c r="E238" t="s">
        <v>30</v>
      </c>
      <c r="F238">
        <v>0</v>
      </c>
      <c r="H238" s="416"/>
    </row>
    <row r="239" spans="1:8">
      <c r="A239" s="20">
        <v>2.2222</v>
      </c>
      <c r="B239" t="s">
        <v>203</v>
      </c>
      <c r="D239">
        <v>12.1</v>
      </c>
      <c r="E239" t="s">
        <v>30</v>
      </c>
      <c r="F239">
        <v>0</v>
      </c>
      <c r="H239" s="416"/>
    </row>
    <row r="240" spans="1:8">
      <c r="A240" s="20">
        <v>2.2223000000000002</v>
      </c>
      <c r="B240" t="s">
        <v>204</v>
      </c>
      <c r="D240">
        <v>9.1</v>
      </c>
      <c r="E240" t="s">
        <v>30</v>
      </c>
      <c r="F240">
        <v>0</v>
      </c>
      <c r="H240" s="416"/>
    </row>
    <row r="241" spans="1:8">
      <c r="A241" s="20">
        <v>2.2223999999999999</v>
      </c>
      <c r="B241" t="s">
        <v>205</v>
      </c>
      <c r="D241">
        <v>64.900000000000006</v>
      </c>
      <c r="E241" t="s">
        <v>30</v>
      </c>
      <c r="F241">
        <v>0</v>
      </c>
      <c r="H241" s="416"/>
    </row>
    <row r="242" spans="1:8">
      <c r="A242" s="19">
        <v>2.2229999999999999</v>
      </c>
      <c r="B242" t="s">
        <v>138</v>
      </c>
      <c r="D242">
        <v>7.5</v>
      </c>
      <c r="E242" t="s">
        <v>30</v>
      </c>
      <c r="F242">
        <v>0</v>
      </c>
      <c r="H242" s="416"/>
    </row>
    <row r="243" spans="1:8">
      <c r="A243" s="20">
        <v>2.2233000000000001</v>
      </c>
      <c r="B243" t="s">
        <v>206</v>
      </c>
      <c r="D243">
        <v>7.5</v>
      </c>
      <c r="E243" t="s">
        <v>30</v>
      </c>
      <c r="F243">
        <v>0</v>
      </c>
      <c r="H243" s="416"/>
    </row>
    <row r="244" spans="1:8">
      <c r="A244" s="19">
        <v>2.2240000000000002</v>
      </c>
      <c r="B244" t="s">
        <v>139</v>
      </c>
      <c r="D244">
        <v>20.3</v>
      </c>
      <c r="E244" t="s">
        <v>30</v>
      </c>
      <c r="F244">
        <v>0</v>
      </c>
      <c r="H244" s="416"/>
    </row>
    <row r="245" spans="1:8">
      <c r="A245" s="20">
        <v>2.2242999999999999</v>
      </c>
      <c r="B245" t="s">
        <v>207</v>
      </c>
      <c r="D245">
        <v>20.3</v>
      </c>
      <c r="E245" t="s">
        <v>30</v>
      </c>
      <c r="F245">
        <v>0</v>
      </c>
      <c r="H245" s="416"/>
    </row>
    <row r="246" spans="1:8">
      <c r="A246" s="19">
        <v>2.2250000000000001</v>
      </c>
      <c r="B246" t="s">
        <v>140</v>
      </c>
      <c r="E246" t="s">
        <v>30</v>
      </c>
      <c r="F246">
        <v>0</v>
      </c>
      <c r="H246" s="416"/>
    </row>
    <row r="247" spans="1:8">
      <c r="A247" s="19">
        <v>2.226</v>
      </c>
      <c r="B247" t="s">
        <v>141</v>
      </c>
      <c r="E247" t="s">
        <v>30</v>
      </c>
      <c r="F247">
        <v>0</v>
      </c>
      <c r="H247" s="416"/>
    </row>
    <row r="248" spans="1:8">
      <c r="A248" s="18">
        <v>2.23</v>
      </c>
      <c r="B248" t="s">
        <v>142</v>
      </c>
      <c r="D248">
        <v>103.9</v>
      </c>
      <c r="E248" t="s">
        <v>30</v>
      </c>
      <c r="F248">
        <v>0</v>
      </c>
      <c r="H248" s="416"/>
    </row>
    <row r="249" spans="1:8">
      <c r="A249" s="19">
        <v>2.2309999999999999</v>
      </c>
      <c r="B249" t="s">
        <v>143</v>
      </c>
      <c r="D249">
        <v>23.6</v>
      </c>
      <c r="E249" t="s">
        <v>30</v>
      </c>
      <c r="F249">
        <v>0</v>
      </c>
      <c r="H249" s="416"/>
    </row>
    <row r="250" spans="1:8">
      <c r="A250" s="19">
        <v>2.2320000000000002</v>
      </c>
      <c r="B250" t="s">
        <v>144</v>
      </c>
      <c r="D250">
        <v>23.1</v>
      </c>
      <c r="E250" t="s">
        <v>30</v>
      </c>
      <c r="F250">
        <v>0</v>
      </c>
      <c r="H250" s="416"/>
    </row>
    <row r="251" spans="1:8">
      <c r="A251" s="19">
        <v>2.2330000000000001</v>
      </c>
      <c r="B251" t="s">
        <v>145</v>
      </c>
      <c r="D251">
        <v>49.6</v>
      </c>
      <c r="E251" t="s">
        <v>30</v>
      </c>
      <c r="F251">
        <v>0</v>
      </c>
      <c r="H251" s="416"/>
    </row>
    <row r="252" spans="1:8">
      <c r="A252" s="19">
        <v>2.234</v>
      </c>
      <c r="B252" t="s">
        <v>146</v>
      </c>
      <c r="D252">
        <v>7.5</v>
      </c>
      <c r="E252" t="s">
        <v>30</v>
      </c>
      <c r="F252">
        <v>0</v>
      </c>
      <c r="H252" s="416"/>
    </row>
    <row r="253" spans="1:8">
      <c r="A253" s="20">
        <v>2.2341000000000002</v>
      </c>
      <c r="B253" t="s">
        <v>208</v>
      </c>
      <c r="D253">
        <v>7.5</v>
      </c>
      <c r="E253" t="s">
        <v>30</v>
      </c>
      <c r="F253">
        <v>0</v>
      </c>
      <c r="H253" s="416"/>
    </row>
    <row r="254" spans="1:8">
      <c r="A254" s="17">
        <v>2.2999999999999998</v>
      </c>
      <c r="B254" t="s">
        <v>147</v>
      </c>
      <c r="D254">
        <v>76.5</v>
      </c>
      <c r="E254" t="s">
        <v>30</v>
      </c>
      <c r="F254">
        <v>0</v>
      </c>
      <c r="H254" s="416"/>
    </row>
    <row r="255" spans="1:8">
      <c r="A255" s="18">
        <v>2.31</v>
      </c>
      <c r="B255" t="s">
        <v>148</v>
      </c>
      <c r="D255">
        <v>46.1</v>
      </c>
      <c r="E255" t="s">
        <v>30</v>
      </c>
      <c r="F255">
        <v>0</v>
      </c>
      <c r="H255" s="416"/>
    </row>
    <row r="256" spans="1:8">
      <c r="A256" s="19">
        <v>2.3170000000000002</v>
      </c>
      <c r="B256" t="s">
        <v>209</v>
      </c>
      <c r="D256">
        <v>6.7</v>
      </c>
      <c r="E256" t="s">
        <v>30</v>
      </c>
      <c r="F256">
        <v>0</v>
      </c>
      <c r="H256" s="416"/>
    </row>
    <row r="257" spans="1:8">
      <c r="A257" s="20">
        <v>2.3100999999999998</v>
      </c>
      <c r="B257" t="s">
        <v>149</v>
      </c>
      <c r="E257" t="s">
        <v>30</v>
      </c>
      <c r="F257">
        <v>0</v>
      </c>
      <c r="H257" s="416"/>
    </row>
    <row r="258" spans="1:8">
      <c r="A258" s="22">
        <v>2.3101099999999999</v>
      </c>
      <c r="B258" t="s">
        <v>210</v>
      </c>
      <c r="E258" t="s">
        <v>30</v>
      </c>
      <c r="F258">
        <v>0</v>
      </c>
      <c r="H258" s="416"/>
    </row>
    <row r="259" spans="1:8">
      <c r="A259" s="22">
        <v>2.31012</v>
      </c>
      <c r="B259" t="s">
        <v>211</v>
      </c>
      <c r="D259">
        <v>24.1</v>
      </c>
      <c r="E259" t="s">
        <v>30</v>
      </c>
      <c r="F259">
        <v>0</v>
      </c>
      <c r="H259" s="416"/>
    </row>
    <row r="260" spans="1:8">
      <c r="A260" s="22">
        <v>2.3102299999999998</v>
      </c>
      <c r="B260" t="s">
        <v>212</v>
      </c>
      <c r="D260">
        <v>5.2</v>
      </c>
      <c r="E260" t="s">
        <v>30</v>
      </c>
      <c r="F260">
        <v>0</v>
      </c>
      <c r="H260" s="416"/>
    </row>
    <row r="261" spans="1:8">
      <c r="A261" s="22">
        <v>2.3102399999999998</v>
      </c>
      <c r="B261" t="s">
        <v>213</v>
      </c>
      <c r="D261">
        <v>4.5</v>
      </c>
      <c r="E261" t="s">
        <v>30</v>
      </c>
      <c r="F261">
        <v>0</v>
      </c>
      <c r="H261" s="416"/>
    </row>
    <row r="262" spans="1:8">
      <c r="A262" s="22">
        <v>2.3102499999999999</v>
      </c>
      <c r="B262" t="s">
        <v>214</v>
      </c>
      <c r="D262">
        <v>5.5</v>
      </c>
      <c r="E262" t="s">
        <v>30</v>
      </c>
      <c r="F262">
        <v>0</v>
      </c>
      <c r="H262" s="416"/>
    </row>
    <row r="263" spans="1:8">
      <c r="A263" s="22">
        <v>2.31027</v>
      </c>
      <c r="B263" t="s">
        <v>215</v>
      </c>
      <c r="E263" t="s">
        <v>30</v>
      </c>
      <c r="F263">
        <v>0</v>
      </c>
      <c r="H263" s="416"/>
    </row>
    <row r="264" spans="1:8">
      <c r="A264" s="18">
        <v>2.33</v>
      </c>
      <c r="B264" t="s">
        <v>150</v>
      </c>
      <c r="D264">
        <v>13.9</v>
      </c>
      <c r="E264" t="s">
        <v>30</v>
      </c>
      <c r="F264">
        <v>0</v>
      </c>
      <c r="H264" s="416"/>
    </row>
    <row r="265" spans="1:8">
      <c r="A265" s="19">
        <v>2.331</v>
      </c>
      <c r="B265" t="s">
        <v>151</v>
      </c>
      <c r="E265" t="s">
        <v>30</v>
      </c>
      <c r="F265">
        <v>0</v>
      </c>
      <c r="H265" s="416"/>
    </row>
    <row r="266" spans="1:8">
      <c r="A266" s="19">
        <v>2.3319999999999999</v>
      </c>
      <c r="B266" t="s">
        <v>152</v>
      </c>
      <c r="D266">
        <v>13.9</v>
      </c>
      <c r="E266" t="s">
        <v>30</v>
      </c>
      <c r="F266">
        <v>0</v>
      </c>
      <c r="H266" s="416"/>
    </row>
    <row r="267" spans="1:8">
      <c r="A267" s="20">
        <v>2.3321000000000001</v>
      </c>
      <c r="B267" t="s">
        <v>216</v>
      </c>
      <c r="D267">
        <v>7</v>
      </c>
      <c r="E267" t="s">
        <v>30</v>
      </c>
      <c r="F267">
        <v>0</v>
      </c>
      <c r="H267" s="416"/>
    </row>
    <row r="268" spans="1:8">
      <c r="A268" s="20">
        <v>2.3323</v>
      </c>
      <c r="B268" t="s">
        <v>217</v>
      </c>
      <c r="D268">
        <v>7</v>
      </c>
      <c r="E268" t="s">
        <v>30</v>
      </c>
      <c r="F268">
        <v>0</v>
      </c>
      <c r="H268" s="416"/>
    </row>
    <row r="269" spans="1:8">
      <c r="A269" s="18">
        <v>2.34</v>
      </c>
      <c r="B269" t="s">
        <v>153</v>
      </c>
      <c r="D269">
        <v>16.5</v>
      </c>
      <c r="E269" t="s">
        <v>30</v>
      </c>
      <c r="F269">
        <v>0</v>
      </c>
      <c r="H269" s="416"/>
    </row>
    <row r="270" spans="1:8">
      <c r="A270" s="19">
        <v>2.3410000000000002</v>
      </c>
      <c r="B270" t="s">
        <v>154</v>
      </c>
      <c r="D270">
        <v>16.5</v>
      </c>
      <c r="E270" t="s">
        <v>30</v>
      </c>
      <c r="F270">
        <v>0</v>
      </c>
      <c r="H270" s="416"/>
    </row>
    <row r="271" spans="1:8">
      <c r="A271" s="20">
        <v>2.3411</v>
      </c>
      <c r="B271" t="s">
        <v>218</v>
      </c>
      <c r="D271">
        <v>5.4</v>
      </c>
      <c r="E271" t="s">
        <v>30</v>
      </c>
      <c r="F271">
        <v>2</v>
      </c>
      <c r="H271" s="416"/>
    </row>
    <row r="272" spans="1:8">
      <c r="A272" s="20">
        <v>2.3414000000000001</v>
      </c>
      <c r="B272" t="s">
        <v>219</v>
      </c>
      <c r="D272">
        <v>11.1</v>
      </c>
      <c r="E272" t="s">
        <v>30</v>
      </c>
      <c r="F272">
        <v>2</v>
      </c>
      <c r="H272" s="416"/>
    </row>
    <row r="273" spans="1:8">
      <c r="A273" s="19">
        <v>2.3420000000000001</v>
      </c>
      <c r="B273" t="s">
        <v>155</v>
      </c>
      <c r="E273" t="s">
        <v>30</v>
      </c>
      <c r="F273">
        <v>0</v>
      </c>
      <c r="H273" s="416"/>
    </row>
    <row r="274" spans="1:8">
      <c r="A274" s="18">
        <v>2.35</v>
      </c>
      <c r="B274" t="s">
        <v>156</v>
      </c>
      <c r="E274" t="s">
        <v>30</v>
      </c>
      <c r="F274">
        <v>0</v>
      </c>
      <c r="H274" s="416"/>
    </row>
    <row r="275" spans="1:8">
      <c r="A275" s="19">
        <v>2.3519999999999999</v>
      </c>
      <c r="B275" t="s">
        <v>157</v>
      </c>
      <c r="E275" t="s">
        <v>30</v>
      </c>
      <c r="F275">
        <v>0</v>
      </c>
      <c r="H275" s="416"/>
    </row>
    <row r="276" spans="1:8">
      <c r="A276" s="17">
        <v>2.4</v>
      </c>
      <c r="B276" t="s">
        <v>158</v>
      </c>
      <c r="D276">
        <v>151.30000000000001</v>
      </c>
      <c r="E276" t="s">
        <v>30</v>
      </c>
      <c r="F276">
        <v>0</v>
      </c>
      <c r="H276" s="416"/>
    </row>
    <row r="277" spans="1:8">
      <c r="A277" s="18">
        <v>2.41</v>
      </c>
      <c r="B277" t="s">
        <v>159</v>
      </c>
      <c r="D277">
        <v>55.9</v>
      </c>
      <c r="E277" t="s">
        <v>30</v>
      </c>
      <c r="F277">
        <v>0</v>
      </c>
      <c r="H277" s="416"/>
    </row>
    <row r="278" spans="1:8">
      <c r="A278" s="19">
        <v>2.411</v>
      </c>
      <c r="B278" t="s">
        <v>220</v>
      </c>
      <c r="D278">
        <v>23.2</v>
      </c>
      <c r="E278" t="s">
        <v>30</v>
      </c>
      <c r="F278">
        <v>0</v>
      </c>
      <c r="H278" s="416"/>
    </row>
    <row r="279" spans="1:8">
      <c r="A279" s="19">
        <v>2.415</v>
      </c>
      <c r="B279" t="s">
        <v>221</v>
      </c>
      <c r="E279" t="s">
        <v>30</v>
      </c>
      <c r="F279">
        <v>0</v>
      </c>
      <c r="H279" s="416"/>
    </row>
    <row r="280" spans="1:8">
      <c r="A280" s="19">
        <v>2.4159999999999999</v>
      </c>
      <c r="B280" t="s">
        <v>222</v>
      </c>
      <c r="D280">
        <v>32.700000000000003</v>
      </c>
      <c r="E280" t="s">
        <v>30</v>
      </c>
      <c r="F280">
        <v>0</v>
      </c>
      <c r="H280" s="416"/>
    </row>
    <row r="281" spans="1:8">
      <c r="A281" s="18">
        <v>2.42</v>
      </c>
      <c r="B281" t="s">
        <v>160</v>
      </c>
      <c r="D281">
        <v>72.5</v>
      </c>
      <c r="E281" t="s">
        <v>30</v>
      </c>
      <c r="F281">
        <v>0</v>
      </c>
      <c r="H281" s="416"/>
    </row>
    <row r="282" spans="1:8">
      <c r="A282" s="19">
        <v>2.4209999999999998</v>
      </c>
      <c r="B282" t="s">
        <v>223</v>
      </c>
      <c r="D282">
        <v>72.5</v>
      </c>
      <c r="E282" t="s">
        <v>30</v>
      </c>
      <c r="F282">
        <v>0</v>
      </c>
      <c r="H282" s="416"/>
    </row>
    <row r="283" spans="1:8">
      <c r="A283" s="19">
        <v>2.4239999999999999</v>
      </c>
      <c r="B283" t="s">
        <v>224</v>
      </c>
      <c r="E283" t="s">
        <v>30</v>
      </c>
      <c r="F283">
        <v>0</v>
      </c>
      <c r="H283" s="416"/>
    </row>
    <row r="284" spans="1:8">
      <c r="A284" s="18">
        <v>2.44</v>
      </c>
      <c r="B284" t="s">
        <v>161</v>
      </c>
      <c r="D284">
        <v>13.9</v>
      </c>
      <c r="E284" t="s">
        <v>30</v>
      </c>
      <c r="F284">
        <v>0</v>
      </c>
      <c r="H284" s="416"/>
    </row>
    <row r="285" spans="1:8">
      <c r="A285" s="19">
        <v>2.4420000000000002</v>
      </c>
      <c r="B285" t="s">
        <v>225</v>
      </c>
      <c r="D285">
        <v>13.9</v>
      </c>
      <c r="E285" t="s">
        <v>30</v>
      </c>
      <c r="F285">
        <v>0</v>
      </c>
      <c r="H285" s="416"/>
    </row>
    <row r="286" spans="1:8">
      <c r="A286" s="18">
        <v>2.46</v>
      </c>
      <c r="B286" t="s">
        <v>162</v>
      </c>
      <c r="D286">
        <v>9</v>
      </c>
      <c r="E286" t="s">
        <v>30</v>
      </c>
      <c r="F286">
        <v>0</v>
      </c>
      <c r="H286" s="416"/>
    </row>
    <row r="287" spans="1:8">
      <c r="A287" s="19">
        <v>2.4609999999999999</v>
      </c>
      <c r="B287" t="s">
        <v>226</v>
      </c>
      <c r="D287">
        <v>9</v>
      </c>
      <c r="E287" t="s">
        <v>30</v>
      </c>
      <c r="F287">
        <v>0</v>
      </c>
      <c r="H287" s="416"/>
    </row>
    <row r="288" spans="1:8">
      <c r="A288" s="18">
        <v>2.4700000000000002</v>
      </c>
      <c r="B288" t="s">
        <v>163</v>
      </c>
      <c r="E288" t="s">
        <v>30</v>
      </c>
      <c r="F288">
        <v>0</v>
      </c>
      <c r="H288" s="416"/>
    </row>
    <row r="289" spans="1:8">
      <c r="A289" s="18">
        <v>2.48</v>
      </c>
      <c r="B289" t="s">
        <v>164</v>
      </c>
      <c r="E289" t="s">
        <v>30</v>
      </c>
      <c r="F289">
        <v>0</v>
      </c>
      <c r="H289" s="416"/>
    </row>
    <row r="290" spans="1:8">
      <c r="A290" s="17">
        <v>2.5</v>
      </c>
      <c r="B290" t="s">
        <v>165</v>
      </c>
      <c r="D290">
        <v>45.7</v>
      </c>
      <c r="E290" t="s">
        <v>30</v>
      </c>
      <c r="F290">
        <v>0</v>
      </c>
      <c r="H290" s="416"/>
    </row>
    <row r="291" spans="1:8">
      <c r="A291" s="18">
        <v>2.5099999999999998</v>
      </c>
      <c r="B291" t="s">
        <v>166</v>
      </c>
      <c r="D291">
        <v>25.6</v>
      </c>
      <c r="E291" t="s">
        <v>30</v>
      </c>
      <c r="F291">
        <v>0</v>
      </c>
      <c r="H291" s="416"/>
    </row>
    <row r="292" spans="1:8">
      <c r="A292" s="19">
        <v>2.5110000000000001</v>
      </c>
      <c r="B292" t="s">
        <v>227</v>
      </c>
      <c r="D292">
        <v>7.8</v>
      </c>
      <c r="E292" t="s">
        <v>30</v>
      </c>
      <c r="F292">
        <v>0</v>
      </c>
      <c r="H292" s="416"/>
    </row>
    <row r="293" spans="1:8">
      <c r="A293" s="19">
        <v>2.512</v>
      </c>
      <c r="B293" t="s">
        <v>228</v>
      </c>
      <c r="D293">
        <v>3.2</v>
      </c>
      <c r="E293" t="s">
        <v>30</v>
      </c>
      <c r="F293">
        <v>0</v>
      </c>
      <c r="H293" s="416"/>
    </row>
    <row r="294" spans="1:8">
      <c r="A294" s="19">
        <v>2.5129999999999999</v>
      </c>
      <c r="B294" t="s">
        <v>229</v>
      </c>
      <c r="D294">
        <v>14.5</v>
      </c>
      <c r="E294" t="s">
        <v>30</v>
      </c>
      <c r="F294">
        <v>0</v>
      </c>
      <c r="H294" s="416"/>
    </row>
    <row r="295" spans="1:8">
      <c r="A295" s="18">
        <v>2.52</v>
      </c>
      <c r="B295" t="s">
        <v>167</v>
      </c>
      <c r="D295">
        <v>12.3</v>
      </c>
      <c r="E295" t="s">
        <v>30</v>
      </c>
      <c r="F295">
        <v>0</v>
      </c>
      <c r="H295" s="416"/>
    </row>
    <row r="296" spans="1:8">
      <c r="A296" s="19">
        <v>2.5209999999999999</v>
      </c>
      <c r="B296" t="s">
        <v>230</v>
      </c>
      <c r="D296">
        <v>3.9</v>
      </c>
      <c r="E296" t="s">
        <v>30</v>
      </c>
      <c r="F296">
        <v>0</v>
      </c>
      <c r="H296" s="416"/>
    </row>
    <row r="297" spans="1:8">
      <c r="A297" s="19">
        <v>2.5219999999999998</v>
      </c>
      <c r="B297" t="s">
        <v>231</v>
      </c>
      <c r="D297">
        <v>6.5</v>
      </c>
      <c r="E297" t="s">
        <v>30</v>
      </c>
      <c r="F297">
        <v>0</v>
      </c>
      <c r="H297" s="416"/>
    </row>
    <row r="298" spans="1:8">
      <c r="A298" s="19">
        <v>2.5230000000000001</v>
      </c>
      <c r="B298" t="s">
        <v>232</v>
      </c>
      <c r="D298">
        <v>1.9</v>
      </c>
      <c r="E298" t="s">
        <v>30</v>
      </c>
      <c r="F298">
        <v>0</v>
      </c>
      <c r="H298" s="416"/>
    </row>
    <row r="299" spans="1:8">
      <c r="A299" s="18">
        <v>2.5499999999999998</v>
      </c>
      <c r="B299" t="s">
        <v>168</v>
      </c>
      <c r="D299">
        <v>2.9</v>
      </c>
      <c r="E299" t="s">
        <v>30</v>
      </c>
      <c r="F299">
        <v>0</v>
      </c>
      <c r="H299" s="416"/>
    </row>
    <row r="300" spans="1:8">
      <c r="A300" s="19">
        <v>2.5510000000000002</v>
      </c>
      <c r="B300" t="s">
        <v>233</v>
      </c>
      <c r="D300">
        <v>2.9</v>
      </c>
      <c r="E300" t="s">
        <v>30</v>
      </c>
      <c r="F300">
        <v>0</v>
      </c>
      <c r="H300" s="416"/>
    </row>
    <row r="301" spans="1:8">
      <c r="A301" s="18">
        <v>2.56</v>
      </c>
      <c r="B301" t="s">
        <v>169</v>
      </c>
      <c r="D301">
        <v>2.7</v>
      </c>
      <c r="E301" t="s">
        <v>30</v>
      </c>
      <c r="F301">
        <v>0</v>
      </c>
      <c r="H301" s="416"/>
    </row>
    <row r="302" spans="1:8">
      <c r="A302" s="18">
        <v>2.57</v>
      </c>
      <c r="B302" t="s">
        <v>170</v>
      </c>
      <c r="D302">
        <v>2.2000000000000002</v>
      </c>
      <c r="E302" t="s">
        <v>30</v>
      </c>
      <c r="F302">
        <v>0</v>
      </c>
      <c r="H302" s="416"/>
    </row>
    <row r="303" spans="1:8">
      <c r="A303" s="17">
        <v>2.6</v>
      </c>
      <c r="B303" t="s">
        <v>171</v>
      </c>
      <c r="D303">
        <v>103.7</v>
      </c>
      <c r="E303" t="s">
        <v>30</v>
      </c>
      <c r="F303">
        <v>0</v>
      </c>
      <c r="H303" s="416"/>
    </row>
    <row r="304" spans="1:8">
      <c r="A304" s="18">
        <v>2.61</v>
      </c>
      <c r="B304" t="s">
        <v>172</v>
      </c>
      <c r="D304">
        <v>27.2</v>
      </c>
      <c r="E304" t="s">
        <v>30</v>
      </c>
      <c r="F304">
        <v>0</v>
      </c>
      <c r="H304" s="416"/>
    </row>
    <row r="305" spans="1:9">
      <c r="A305" s="18">
        <v>2.62</v>
      </c>
      <c r="B305" t="s">
        <v>173</v>
      </c>
      <c r="D305">
        <v>36.4</v>
      </c>
      <c r="E305" t="s">
        <v>30</v>
      </c>
      <c r="F305">
        <v>0</v>
      </c>
      <c r="H305" s="416"/>
    </row>
    <row r="306" spans="1:9">
      <c r="A306" s="19">
        <v>2.621</v>
      </c>
      <c r="B306" t="s">
        <v>234</v>
      </c>
      <c r="D306">
        <v>36.4</v>
      </c>
      <c r="E306" t="s">
        <v>30</v>
      </c>
      <c r="F306">
        <v>0</v>
      </c>
      <c r="H306" s="416"/>
    </row>
    <row r="307" spans="1:9">
      <c r="A307" s="18">
        <v>2.63</v>
      </c>
      <c r="B307" t="s">
        <v>174</v>
      </c>
      <c r="D307">
        <v>40.200000000000003</v>
      </c>
      <c r="E307" t="s">
        <v>30</v>
      </c>
      <c r="F307">
        <v>0</v>
      </c>
      <c r="H307" s="416"/>
    </row>
    <row r="308" spans="1:9">
      <c r="A308" s="17">
        <v>2.7</v>
      </c>
      <c r="B308" t="s">
        <v>175</v>
      </c>
      <c r="D308">
        <v>1.9</v>
      </c>
      <c r="E308" t="s">
        <v>30</v>
      </c>
      <c r="F308">
        <v>0</v>
      </c>
      <c r="H308" s="416"/>
    </row>
    <row r="309" spans="1:9">
      <c r="A309" s="19">
        <v>2.71</v>
      </c>
      <c r="B309" t="s">
        <v>176</v>
      </c>
      <c r="D309">
        <v>1.9</v>
      </c>
      <c r="E309" t="s">
        <v>30</v>
      </c>
      <c r="F309">
        <v>0</v>
      </c>
      <c r="H309" s="416"/>
    </row>
    <row r="310" spans="1:9">
      <c r="A310" s="16"/>
    </row>
    <row r="311" spans="1:9">
      <c r="A311" s="15">
        <v>3</v>
      </c>
      <c r="B311" t="s">
        <v>293</v>
      </c>
      <c r="C311">
        <v>2545.9</v>
      </c>
      <c r="D311">
        <v>2847</v>
      </c>
      <c r="E311" t="s">
        <v>28</v>
      </c>
      <c r="F311">
        <v>0</v>
      </c>
      <c r="I311" s="416"/>
    </row>
    <row r="312" spans="1:9">
      <c r="A312" s="15"/>
      <c r="D312">
        <v>454.3</v>
      </c>
      <c r="E312" t="s">
        <v>29</v>
      </c>
      <c r="I312" s="416"/>
    </row>
    <row r="313" spans="1:9">
      <c r="A313" s="15"/>
      <c r="D313">
        <v>2392.6</v>
      </c>
      <c r="E313" t="s">
        <v>30</v>
      </c>
      <c r="I313" s="416"/>
    </row>
    <row r="314" spans="1:9">
      <c r="A314" s="17">
        <v>3.1</v>
      </c>
      <c r="B314" t="s">
        <v>236</v>
      </c>
      <c r="D314">
        <v>105.4</v>
      </c>
      <c r="E314" t="s">
        <v>30</v>
      </c>
      <c r="F314">
        <v>0</v>
      </c>
      <c r="I314" s="416"/>
    </row>
    <row r="315" spans="1:9">
      <c r="A315" s="18">
        <v>3.11</v>
      </c>
      <c r="B315" t="s">
        <v>237</v>
      </c>
      <c r="D315">
        <v>105.4</v>
      </c>
      <c r="E315" t="s">
        <v>30</v>
      </c>
      <c r="F315">
        <v>0</v>
      </c>
      <c r="I315" s="416"/>
    </row>
    <row r="316" spans="1:9">
      <c r="A316" s="18">
        <v>3.12</v>
      </c>
      <c r="B316" t="s">
        <v>238</v>
      </c>
      <c r="E316" t="s">
        <v>30</v>
      </c>
      <c r="F316">
        <v>0</v>
      </c>
      <c r="I316" s="416"/>
    </row>
    <row r="317" spans="1:9">
      <c r="A317" s="18">
        <v>3.15</v>
      </c>
      <c r="B317" t="s">
        <v>239</v>
      </c>
      <c r="E317" t="s">
        <v>30</v>
      </c>
      <c r="F317">
        <v>0</v>
      </c>
      <c r="I317" s="416"/>
    </row>
    <row r="318" spans="1:9">
      <c r="A318" s="17">
        <v>3.2</v>
      </c>
      <c r="B318" t="s">
        <v>240</v>
      </c>
      <c r="D318">
        <v>96.7</v>
      </c>
      <c r="E318" t="s">
        <v>30</v>
      </c>
      <c r="F318">
        <v>0</v>
      </c>
      <c r="I318" s="416"/>
    </row>
    <row r="319" spans="1:9">
      <c r="A319" s="18">
        <v>3.21</v>
      </c>
      <c r="B319" t="s">
        <v>241</v>
      </c>
      <c r="E319" t="s">
        <v>30</v>
      </c>
      <c r="F319">
        <v>0</v>
      </c>
      <c r="I319" s="416"/>
    </row>
    <row r="320" spans="1:9">
      <c r="A320" s="18">
        <v>3.22</v>
      </c>
      <c r="B320" t="s">
        <v>242</v>
      </c>
      <c r="D320">
        <v>55.7</v>
      </c>
      <c r="E320" t="s">
        <v>30</v>
      </c>
      <c r="F320">
        <v>0</v>
      </c>
      <c r="I320" s="416"/>
    </row>
    <row r="321" spans="1:9">
      <c r="A321" s="18">
        <v>3.25</v>
      </c>
      <c r="B321" t="s">
        <v>243</v>
      </c>
      <c r="D321">
        <v>40.9</v>
      </c>
      <c r="E321" t="s">
        <v>30</v>
      </c>
      <c r="F321">
        <v>0</v>
      </c>
      <c r="I321" s="416"/>
    </row>
    <row r="322" spans="1:9">
      <c r="A322" s="17">
        <v>3.3</v>
      </c>
      <c r="B322" t="s">
        <v>244</v>
      </c>
      <c r="D322">
        <v>190.5</v>
      </c>
      <c r="E322" t="s">
        <v>30</v>
      </c>
      <c r="F322">
        <v>0</v>
      </c>
      <c r="I322" s="416"/>
    </row>
    <row r="323" spans="1:9">
      <c r="A323" s="19">
        <v>3.3010000000000002</v>
      </c>
      <c r="B323" t="s">
        <v>245</v>
      </c>
      <c r="D323">
        <v>22</v>
      </c>
      <c r="E323" t="s">
        <v>30</v>
      </c>
      <c r="F323">
        <v>0</v>
      </c>
      <c r="I323" s="416"/>
    </row>
    <row r="324" spans="1:9">
      <c r="A324" s="19">
        <v>3.302</v>
      </c>
      <c r="B324" t="s">
        <v>246</v>
      </c>
      <c r="D324">
        <v>50.5</v>
      </c>
      <c r="E324" t="s">
        <v>30</v>
      </c>
      <c r="F324">
        <v>0</v>
      </c>
      <c r="I324" s="416"/>
    </row>
    <row r="325" spans="1:9">
      <c r="A325" s="19">
        <v>3.3029999999999999</v>
      </c>
      <c r="B325" t="s">
        <v>247</v>
      </c>
      <c r="D325">
        <v>31</v>
      </c>
      <c r="E325" t="s">
        <v>30</v>
      </c>
      <c r="F325">
        <v>0</v>
      </c>
      <c r="I325" s="416"/>
    </row>
    <row r="326" spans="1:9">
      <c r="A326" s="19">
        <v>3.3039999999999998</v>
      </c>
      <c r="B326" t="s">
        <v>248</v>
      </c>
      <c r="D326">
        <v>44.4</v>
      </c>
      <c r="E326" t="s">
        <v>30</v>
      </c>
      <c r="F326">
        <v>0</v>
      </c>
      <c r="I326" s="416"/>
    </row>
    <row r="327" spans="1:9">
      <c r="A327" s="19">
        <v>3.3050000000000002</v>
      </c>
      <c r="B327" t="s">
        <v>249</v>
      </c>
      <c r="D327">
        <v>13.4</v>
      </c>
      <c r="E327" t="s">
        <v>30</v>
      </c>
      <c r="F327">
        <v>0</v>
      </c>
      <c r="I327" s="416"/>
    </row>
    <row r="328" spans="1:9">
      <c r="A328" s="19">
        <v>3.306</v>
      </c>
      <c r="B328" t="s">
        <v>250</v>
      </c>
      <c r="D328">
        <v>29.2</v>
      </c>
      <c r="E328" t="s">
        <v>30</v>
      </c>
      <c r="F328">
        <v>0</v>
      </c>
      <c r="I328" s="416"/>
    </row>
    <row r="329" spans="1:9">
      <c r="A329" s="19">
        <v>3.3069999999999999</v>
      </c>
      <c r="B329" t="s">
        <v>251</v>
      </c>
      <c r="E329" t="s">
        <v>30</v>
      </c>
      <c r="F329">
        <v>0</v>
      </c>
      <c r="I329" s="416"/>
    </row>
    <row r="330" spans="1:9">
      <c r="A330" s="19">
        <v>3.3079999999999998</v>
      </c>
      <c r="B330" t="s">
        <v>252</v>
      </c>
      <c r="E330" t="s">
        <v>30</v>
      </c>
      <c r="F330">
        <v>0</v>
      </c>
      <c r="I330" s="416"/>
    </row>
    <row r="331" spans="1:9">
      <c r="A331" s="19">
        <v>3.3090000000000002</v>
      </c>
      <c r="B331" t="s">
        <v>253</v>
      </c>
      <c r="E331" t="s">
        <v>30</v>
      </c>
      <c r="F331">
        <v>0</v>
      </c>
      <c r="I331" s="416"/>
    </row>
    <row r="332" spans="1:9">
      <c r="A332" s="18">
        <v>3.31</v>
      </c>
      <c r="B332" t="s">
        <v>254</v>
      </c>
      <c r="E332" t="s">
        <v>30</v>
      </c>
      <c r="F332">
        <v>0</v>
      </c>
      <c r="I332" s="416"/>
    </row>
    <row r="333" spans="1:9">
      <c r="A333" s="17">
        <v>3.5</v>
      </c>
      <c r="B333" t="s">
        <v>255</v>
      </c>
      <c r="D333">
        <v>33.200000000000003</v>
      </c>
      <c r="E333" t="s">
        <v>29</v>
      </c>
      <c r="F333">
        <v>0</v>
      </c>
      <c r="I333" s="416"/>
    </row>
    <row r="334" spans="1:9">
      <c r="A334" s="15"/>
      <c r="D334">
        <v>67</v>
      </c>
      <c r="E334" t="s">
        <v>30</v>
      </c>
      <c r="I334" s="416"/>
    </row>
    <row r="335" spans="1:9">
      <c r="A335" s="18">
        <v>3.51</v>
      </c>
      <c r="B335" t="s">
        <v>256</v>
      </c>
      <c r="D335">
        <v>59.2</v>
      </c>
      <c r="E335" t="s">
        <v>30</v>
      </c>
      <c r="F335">
        <v>0</v>
      </c>
      <c r="I335" s="416"/>
    </row>
    <row r="336" spans="1:9">
      <c r="A336" s="18">
        <v>3.52</v>
      </c>
      <c r="B336" t="s">
        <v>257</v>
      </c>
      <c r="E336" t="s">
        <v>30</v>
      </c>
      <c r="F336">
        <v>0</v>
      </c>
      <c r="I336" s="416"/>
    </row>
    <row r="337" spans="1:9">
      <c r="A337" s="18">
        <v>3.53</v>
      </c>
      <c r="B337" t="s">
        <v>258</v>
      </c>
      <c r="D337">
        <v>33.200000000000003</v>
      </c>
      <c r="E337" t="s">
        <v>29</v>
      </c>
      <c r="F337">
        <v>0</v>
      </c>
      <c r="I337" s="416"/>
    </row>
    <row r="338" spans="1:9">
      <c r="A338" s="15"/>
      <c r="D338">
        <v>7.9</v>
      </c>
      <c r="E338" t="s">
        <v>30</v>
      </c>
      <c r="I338" s="416"/>
    </row>
    <row r="339" spans="1:9">
      <c r="A339" s="18">
        <v>3.54</v>
      </c>
      <c r="B339" t="s">
        <v>259</v>
      </c>
      <c r="E339" t="s">
        <v>30</v>
      </c>
      <c r="F339">
        <v>0</v>
      </c>
      <c r="I339" s="416"/>
    </row>
    <row r="340" spans="1:9">
      <c r="A340" s="17">
        <v>3.6</v>
      </c>
      <c r="B340" t="s">
        <v>260</v>
      </c>
      <c r="D340">
        <v>230.8</v>
      </c>
      <c r="E340" t="s">
        <v>30</v>
      </c>
      <c r="F340">
        <v>0</v>
      </c>
      <c r="I340" s="416"/>
    </row>
    <row r="341" spans="1:9">
      <c r="A341" s="17">
        <v>3.61</v>
      </c>
      <c r="B341" t="s">
        <v>247</v>
      </c>
      <c r="D341">
        <v>158</v>
      </c>
      <c r="E341" t="s">
        <v>30</v>
      </c>
      <c r="F341">
        <v>0</v>
      </c>
      <c r="I341" s="416"/>
    </row>
    <row r="342" spans="1:9">
      <c r="A342" s="19">
        <v>3.6110000000000002</v>
      </c>
      <c r="B342" t="s">
        <v>261</v>
      </c>
      <c r="D342">
        <v>22.2</v>
      </c>
      <c r="E342" t="s">
        <v>30</v>
      </c>
      <c r="F342">
        <v>0</v>
      </c>
      <c r="I342" s="416"/>
    </row>
    <row r="343" spans="1:9">
      <c r="A343" s="19">
        <v>3.6120000000000001</v>
      </c>
      <c r="B343" t="s">
        <v>262</v>
      </c>
      <c r="D343">
        <v>52.2</v>
      </c>
      <c r="E343" t="s">
        <v>30</v>
      </c>
      <c r="F343">
        <v>0</v>
      </c>
      <c r="I343" s="416"/>
    </row>
    <row r="344" spans="1:9">
      <c r="A344" s="19">
        <v>3.613</v>
      </c>
      <c r="B344" t="s">
        <v>263</v>
      </c>
      <c r="D344">
        <v>73.400000000000006</v>
      </c>
      <c r="E344" t="s">
        <v>30</v>
      </c>
      <c r="F344">
        <v>0</v>
      </c>
      <c r="I344" s="416"/>
    </row>
    <row r="345" spans="1:9">
      <c r="A345" s="19">
        <v>3.6139999999999999</v>
      </c>
      <c r="B345" t="s">
        <v>264</v>
      </c>
      <c r="D345">
        <v>10.1</v>
      </c>
      <c r="E345" t="s">
        <v>30</v>
      </c>
      <c r="F345">
        <v>0</v>
      </c>
      <c r="I345" s="416"/>
    </row>
    <row r="346" spans="1:9">
      <c r="A346" s="18">
        <v>3.62</v>
      </c>
      <c r="B346" t="s">
        <v>265</v>
      </c>
      <c r="D346">
        <v>60.6</v>
      </c>
      <c r="E346" t="s">
        <v>30</v>
      </c>
      <c r="F346">
        <v>0</v>
      </c>
      <c r="I346" s="416"/>
    </row>
    <row r="347" spans="1:9">
      <c r="A347" s="18">
        <v>3.63</v>
      </c>
      <c r="B347" t="s">
        <v>266</v>
      </c>
      <c r="D347">
        <v>12.1</v>
      </c>
      <c r="E347" t="s">
        <v>30</v>
      </c>
      <c r="F347">
        <v>0</v>
      </c>
      <c r="I347" s="416"/>
    </row>
    <row r="348" spans="1:9">
      <c r="A348" s="18">
        <v>3.64</v>
      </c>
      <c r="B348" t="s">
        <v>267</v>
      </c>
      <c r="E348" t="s">
        <v>30</v>
      </c>
      <c r="F348">
        <v>0</v>
      </c>
      <c r="I348" s="416"/>
    </row>
    <row r="349" spans="1:9">
      <c r="A349" s="17">
        <v>3.7</v>
      </c>
      <c r="B349" t="s">
        <v>80</v>
      </c>
      <c r="D349">
        <v>556</v>
      </c>
      <c r="E349" t="s">
        <v>30</v>
      </c>
      <c r="F349">
        <v>0</v>
      </c>
      <c r="I349" s="416"/>
    </row>
    <row r="350" spans="1:9">
      <c r="A350" s="18">
        <v>3.71</v>
      </c>
      <c r="B350" t="s">
        <v>248</v>
      </c>
      <c r="D350">
        <v>396.5</v>
      </c>
      <c r="E350" t="s">
        <v>30</v>
      </c>
      <c r="F350">
        <v>0</v>
      </c>
      <c r="I350" s="416"/>
    </row>
    <row r="351" spans="1:9">
      <c r="A351" s="19">
        <v>3.7109999999999999</v>
      </c>
      <c r="B351" t="s">
        <v>268</v>
      </c>
      <c r="D351">
        <v>43.7</v>
      </c>
      <c r="E351" t="s">
        <v>30</v>
      </c>
      <c r="F351">
        <v>0</v>
      </c>
      <c r="I351" s="416"/>
    </row>
    <row r="352" spans="1:9">
      <c r="A352" s="19">
        <v>3.7120000000000002</v>
      </c>
      <c r="B352" t="s">
        <v>269</v>
      </c>
      <c r="D352">
        <v>13.6</v>
      </c>
      <c r="E352" t="s">
        <v>30</v>
      </c>
      <c r="F352">
        <v>0</v>
      </c>
      <c r="I352" s="416"/>
    </row>
    <row r="353" spans="1:9">
      <c r="A353" s="19">
        <v>3.7130000000000001</v>
      </c>
      <c r="B353" t="s">
        <v>270</v>
      </c>
      <c r="D353">
        <v>279.8</v>
      </c>
      <c r="E353" t="s">
        <v>30</v>
      </c>
      <c r="F353">
        <v>0</v>
      </c>
      <c r="I353" s="416"/>
    </row>
    <row r="354" spans="1:9">
      <c r="A354" s="19">
        <v>3.714</v>
      </c>
      <c r="B354" t="s">
        <v>271</v>
      </c>
      <c r="D354">
        <v>11.1</v>
      </c>
      <c r="E354" t="s">
        <v>30</v>
      </c>
      <c r="F354">
        <v>0</v>
      </c>
      <c r="I354" s="416"/>
    </row>
    <row r="355" spans="1:9">
      <c r="A355" s="19">
        <v>3.7149999999999999</v>
      </c>
      <c r="B355" t="s">
        <v>272</v>
      </c>
      <c r="D355">
        <v>48.1</v>
      </c>
      <c r="E355" t="s">
        <v>30</v>
      </c>
      <c r="F355">
        <v>0</v>
      </c>
      <c r="I355" s="416"/>
    </row>
    <row r="356" spans="1:9">
      <c r="A356" s="18">
        <v>3.72</v>
      </c>
      <c r="B356" t="s">
        <v>247</v>
      </c>
      <c r="D356">
        <v>9.1</v>
      </c>
      <c r="E356" t="s">
        <v>30</v>
      </c>
      <c r="F356">
        <v>0</v>
      </c>
      <c r="I356" s="416"/>
    </row>
    <row r="357" spans="1:9">
      <c r="A357" s="18">
        <v>3.73</v>
      </c>
      <c r="B357" t="s">
        <v>250</v>
      </c>
      <c r="D357">
        <v>12.8</v>
      </c>
      <c r="E357" t="s">
        <v>30</v>
      </c>
      <c r="F357">
        <v>0</v>
      </c>
      <c r="I357" s="416"/>
    </row>
    <row r="358" spans="1:9">
      <c r="A358" s="18">
        <v>3.74</v>
      </c>
      <c r="B358" t="s">
        <v>273</v>
      </c>
      <c r="D358">
        <v>113.7</v>
      </c>
      <c r="E358" t="s">
        <v>30</v>
      </c>
      <c r="F358">
        <v>0</v>
      </c>
      <c r="I358" s="416"/>
    </row>
    <row r="359" spans="1:9">
      <c r="A359" s="18">
        <v>3.75</v>
      </c>
      <c r="B359" t="s">
        <v>251</v>
      </c>
      <c r="D359">
        <v>8.1</v>
      </c>
      <c r="E359" t="s">
        <v>30</v>
      </c>
      <c r="F359">
        <v>0</v>
      </c>
      <c r="I359" s="416"/>
    </row>
    <row r="360" spans="1:9">
      <c r="A360" s="18">
        <v>3.76</v>
      </c>
      <c r="B360" t="s">
        <v>332</v>
      </c>
      <c r="D360">
        <v>9.5</v>
      </c>
      <c r="E360" t="s">
        <v>30</v>
      </c>
      <c r="F360">
        <v>0</v>
      </c>
      <c r="I360" s="416"/>
    </row>
    <row r="361" spans="1:9">
      <c r="A361" s="18">
        <v>3.78</v>
      </c>
      <c r="B361" t="s">
        <v>274</v>
      </c>
      <c r="D361">
        <v>6</v>
      </c>
      <c r="E361" t="s">
        <v>30</v>
      </c>
      <c r="F361">
        <v>0</v>
      </c>
      <c r="I361" s="416"/>
    </row>
    <row r="362" spans="1:9">
      <c r="A362" s="17">
        <v>3.8</v>
      </c>
      <c r="B362" t="s">
        <v>275</v>
      </c>
      <c r="D362">
        <v>421</v>
      </c>
      <c r="E362" t="s">
        <v>29</v>
      </c>
      <c r="F362">
        <v>0</v>
      </c>
      <c r="I362" s="416"/>
    </row>
    <row r="363" spans="1:9">
      <c r="A363" s="15"/>
      <c r="D363">
        <v>1126.4000000000001</v>
      </c>
      <c r="E363" t="s">
        <v>30</v>
      </c>
      <c r="I363" s="416"/>
    </row>
    <row r="364" spans="1:9">
      <c r="A364" s="18">
        <v>3.82</v>
      </c>
      <c r="B364" t="s">
        <v>276</v>
      </c>
      <c r="D364">
        <v>421</v>
      </c>
      <c r="E364" t="s">
        <v>29</v>
      </c>
      <c r="F364">
        <v>0</v>
      </c>
      <c r="I364" s="416"/>
    </row>
    <row r="365" spans="1:9">
      <c r="A365" s="15"/>
      <c r="D365">
        <v>1126.4000000000001</v>
      </c>
      <c r="E365" t="s">
        <v>30</v>
      </c>
      <c r="I365" s="416"/>
    </row>
    <row r="366" spans="1:9">
      <c r="A366" s="19">
        <v>3.8210000000000002</v>
      </c>
      <c r="B366" t="s">
        <v>277</v>
      </c>
      <c r="D366">
        <v>417.2</v>
      </c>
      <c r="E366" t="s">
        <v>29</v>
      </c>
      <c r="F366">
        <v>0</v>
      </c>
      <c r="I366" s="416"/>
    </row>
    <row r="367" spans="1:9">
      <c r="A367" s="19"/>
      <c r="D367">
        <v>1113.9000000000001</v>
      </c>
      <c r="E367" t="s">
        <v>30</v>
      </c>
      <c r="I367" s="416"/>
    </row>
    <row r="368" spans="1:9">
      <c r="A368" s="19">
        <v>3.8220000000000001</v>
      </c>
      <c r="B368" t="s">
        <v>278</v>
      </c>
      <c r="D368">
        <v>3.9</v>
      </c>
      <c r="E368" t="s">
        <v>29</v>
      </c>
      <c r="F368">
        <v>0</v>
      </c>
      <c r="I368" s="416"/>
    </row>
    <row r="369" spans="1:9">
      <c r="A369" s="15"/>
      <c r="D369">
        <v>12.5</v>
      </c>
      <c r="E369" t="s">
        <v>30</v>
      </c>
      <c r="I369" s="416"/>
    </row>
    <row r="370" spans="1:9">
      <c r="A370" s="17">
        <v>3.9</v>
      </c>
      <c r="B370" t="s">
        <v>279</v>
      </c>
      <c r="C370">
        <v>2545.9</v>
      </c>
      <c r="D370">
        <v>19.600000000000001</v>
      </c>
      <c r="E370" t="s">
        <v>30</v>
      </c>
      <c r="F370">
        <v>0</v>
      </c>
      <c r="I370" s="416"/>
    </row>
    <row r="371" spans="1:9">
      <c r="A371" s="18">
        <v>3.91</v>
      </c>
      <c r="B371" t="s">
        <v>280</v>
      </c>
      <c r="C371">
        <v>2155.4</v>
      </c>
      <c r="E371" t="s">
        <v>30</v>
      </c>
      <c r="F371">
        <v>0</v>
      </c>
      <c r="I371" s="416"/>
    </row>
    <row r="372" spans="1:9">
      <c r="A372" s="19">
        <v>3.911</v>
      </c>
      <c r="B372" t="s">
        <v>281</v>
      </c>
      <c r="C372">
        <v>2155.4</v>
      </c>
      <c r="E372" t="s">
        <v>30</v>
      </c>
      <c r="F372">
        <v>0</v>
      </c>
      <c r="I372" s="416"/>
    </row>
    <row r="373" spans="1:9">
      <c r="A373" s="20">
        <v>3.9110100000000001</v>
      </c>
      <c r="B373" t="s">
        <v>282</v>
      </c>
      <c r="C373">
        <v>1689.2</v>
      </c>
      <c r="E373" t="s">
        <v>30</v>
      </c>
      <c r="F373">
        <v>0</v>
      </c>
      <c r="I373" s="416"/>
    </row>
    <row r="374" spans="1:9">
      <c r="A374" s="20">
        <v>3.9110399999999998</v>
      </c>
      <c r="B374" t="s">
        <v>283</v>
      </c>
      <c r="C374">
        <v>466.2</v>
      </c>
      <c r="E374" t="s">
        <v>30</v>
      </c>
      <c r="F374">
        <v>0</v>
      </c>
      <c r="I374" s="416"/>
    </row>
    <row r="375" spans="1:9">
      <c r="A375" s="19">
        <v>3.9140000000000001</v>
      </c>
      <c r="B375" t="s">
        <v>284</v>
      </c>
      <c r="E375" t="s">
        <v>30</v>
      </c>
      <c r="F375">
        <v>0</v>
      </c>
      <c r="I375" s="416"/>
    </row>
    <row r="376" spans="1:9">
      <c r="A376" s="18">
        <v>3.92</v>
      </c>
      <c r="B376" t="s">
        <v>285</v>
      </c>
      <c r="E376" t="s">
        <v>30</v>
      </c>
      <c r="F376">
        <v>0</v>
      </c>
      <c r="I376" s="416"/>
    </row>
    <row r="377" spans="1:9">
      <c r="A377" s="18">
        <v>3.93</v>
      </c>
      <c r="B377" t="s">
        <v>286</v>
      </c>
      <c r="C377">
        <v>60.2</v>
      </c>
      <c r="E377" t="s">
        <v>30</v>
      </c>
      <c r="F377">
        <v>0</v>
      </c>
      <c r="I377" s="416"/>
    </row>
    <row r="378" spans="1:9">
      <c r="A378" s="18">
        <v>3.94</v>
      </c>
      <c r="B378" t="s">
        <v>287</v>
      </c>
      <c r="D378">
        <v>19.600000000000001</v>
      </c>
      <c r="E378" t="s">
        <v>30</v>
      </c>
      <c r="F378">
        <v>0</v>
      </c>
      <c r="I378" s="416"/>
    </row>
    <row r="379" spans="1:9">
      <c r="A379" s="19">
        <v>3.9409999999999998</v>
      </c>
      <c r="B379" t="s">
        <v>288</v>
      </c>
      <c r="D379">
        <v>7.4</v>
      </c>
      <c r="E379" t="s">
        <v>30</v>
      </c>
      <c r="F379">
        <v>0</v>
      </c>
      <c r="I379" s="416"/>
    </row>
    <row r="380" spans="1:9">
      <c r="A380" s="19">
        <v>3.9420000000000002</v>
      </c>
      <c r="B380" t="s">
        <v>289</v>
      </c>
      <c r="D380">
        <v>12.1</v>
      </c>
      <c r="E380" t="s">
        <v>30</v>
      </c>
      <c r="F380">
        <v>0</v>
      </c>
      <c r="I380" s="416"/>
    </row>
    <row r="381" spans="1:9">
      <c r="A381" s="17">
        <v>3.95</v>
      </c>
      <c r="B381" t="s">
        <v>290</v>
      </c>
      <c r="C381">
        <v>330.3</v>
      </c>
      <c r="E381" t="s">
        <v>30</v>
      </c>
      <c r="F381">
        <v>0</v>
      </c>
      <c r="I381" s="416"/>
    </row>
    <row r="382" spans="1:9">
      <c r="A382" s="17">
        <v>3.96</v>
      </c>
      <c r="B382" t="s">
        <v>291</v>
      </c>
      <c r="E382" t="s">
        <v>30</v>
      </c>
      <c r="F382">
        <v>0</v>
      </c>
      <c r="I382" s="416"/>
    </row>
    <row r="383" spans="1:9">
      <c r="A383" s="17">
        <v>3.97</v>
      </c>
      <c r="B383" t="s">
        <v>292</v>
      </c>
      <c r="E383" t="s">
        <v>30</v>
      </c>
      <c r="F383">
        <v>0</v>
      </c>
      <c r="I383" s="416"/>
    </row>
    <row r="384" spans="1:9">
      <c r="A384" s="16"/>
      <c r="I384" s="417"/>
    </row>
    <row r="385" spans="1:6">
      <c r="A385" s="15">
        <v>4</v>
      </c>
      <c r="B385" t="s">
        <v>318</v>
      </c>
      <c r="D385">
        <v>411.6</v>
      </c>
      <c r="E385" t="s">
        <v>28</v>
      </c>
      <c r="F385">
        <v>0</v>
      </c>
    </row>
    <row r="386" spans="1:6">
      <c r="A386" s="15"/>
      <c r="D386">
        <v>518.70000000000005</v>
      </c>
      <c r="E386" t="s">
        <v>29</v>
      </c>
    </row>
    <row r="387" spans="1:6">
      <c r="A387" s="15"/>
      <c r="D387">
        <v>-107.2</v>
      </c>
      <c r="E387" t="s">
        <v>30</v>
      </c>
    </row>
    <row r="388" spans="1:6">
      <c r="A388" s="17">
        <v>4.0999999999999996</v>
      </c>
      <c r="B388" t="s">
        <v>295</v>
      </c>
      <c r="D388">
        <v>389</v>
      </c>
      <c r="E388" t="s">
        <v>29</v>
      </c>
      <c r="F388">
        <v>0</v>
      </c>
    </row>
    <row r="389" spans="1:6">
      <c r="A389" s="15"/>
      <c r="D389">
        <v>247.4</v>
      </c>
      <c r="E389" t="s">
        <v>30</v>
      </c>
    </row>
    <row r="390" spans="1:6">
      <c r="A390" s="18">
        <v>4.13</v>
      </c>
      <c r="B390" t="s">
        <v>296</v>
      </c>
      <c r="D390">
        <v>97.8</v>
      </c>
      <c r="E390" t="s">
        <v>29</v>
      </c>
      <c r="F390">
        <v>0</v>
      </c>
    </row>
    <row r="391" spans="1:6">
      <c r="A391" s="15"/>
      <c r="D391">
        <v>76.8</v>
      </c>
      <c r="E391" t="s">
        <v>30</v>
      </c>
    </row>
    <row r="392" spans="1:6">
      <c r="A392" s="19">
        <v>4.1310000000000002</v>
      </c>
      <c r="B392" t="s">
        <v>297</v>
      </c>
      <c r="E392" t="s">
        <v>30</v>
      </c>
      <c r="F392">
        <v>0</v>
      </c>
    </row>
    <row r="393" spans="1:6">
      <c r="A393" s="19">
        <v>4.1319999999999997</v>
      </c>
      <c r="B393" t="s">
        <v>298</v>
      </c>
      <c r="D393">
        <v>34.200000000000003</v>
      </c>
      <c r="E393" t="s">
        <v>29</v>
      </c>
      <c r="F393">
        <v>0</v>
      </c>
    </row>
    <row r="394" spans="1:6">
      <c r="A394" s="15"/>
      <c r="D394">
        <v>9.3000000000000007</v>
      </c>
      <c r="E394" t="s">
        <v>30</v>
      </c>
    </row>
    <row r="395" spans="1:6">
      <c r="A395" s="19">
        <v>4.133</v>
      </c>
      <c r="B395" t="s">
        <v>299</v>
      </c>
      <c r="D395">
        <v>63.6</v>
      </c>
      <c r="E395" t="s">
        <v>29</v>
      </c>
      <c r="F395">
        <v>0</v>
      </c>
    </row>
    <row r="396" spans="1:6">
      <c r="A396" s="15"/>
      <c r="D396">
        <v>17.3</v>
      </c>
      <c r="E396" t="s">
        <v>30</v>
      </c>
    </row>
    <row r="397" spans="1:6">
      <c r="A397" s="19">
        <v>4.1340000000000003</v>
      </c>
      <c r="B397" t="s">
        <v>78</v>
      </c>
      <c r="D397">
        <v>50.2</v>
      </c>
      <c r="E397" t="s">
        <v>30</v>
      </c>
      <c r="F397">
        <v>0</v>
      </c>
    </row>
    <row r="398" spans="1:6">
      <c r="A398" s="18">
        <v>4.1399999999999997</v>
      </c>
      <c r="B398" t="s">
        <v>300</v>
      </c>
      <c r="D398">
        <v>291.2</v>
      </c>
      <c r="E398" t="s">
        <v>29</v>
      </c>
      <c r="F398">
        <v>0</v>
      </c>
    </row>
    <row r="399" spans="1:6">
      <c r="A399" s="15"/>
      <c r="D399">
        <v>170.5</v>
      </c>
      <c r="E399" t="s">
        <v>30</v>
      </c>
    </row>
    <row r="400" spans="1:6">
      <c r="A400" s="19">
        <v>4.141</v>
      </c>
      <c r="B400" t="s">
        <v>297</v>
      </c>
      <c r="E400" t="s">
        <v>30</v>
      </c>
      <c r="F400">
        <v>0</v>
      </c>
    </row>
    <row r="401" spans="1:6">
      <c r="A401" s="19">
        <v>4.1420000000000003</v>
      </c>
      <c r="B401" t="s">
        <v>298</v>
      </c>
      <c r="D401">
        <v>145</v>
      </c>
      <c r="E401" t="s">
        <v>29</v>
      </c>
      <c r="F401">
        <v>0</v>
      </c>
    </row>
    <row r="402" spans="1:6">
      <c r="A402" s="15"/>
      <c r="D402">
        <v>41.4</v>
      </c>
      <c r="E402" t="s">
        <v>30</v>
      </c>
    </row>
    <row r="403" spans="1:6">
      <c r="A403" s="19">
        <v>4.1429999999999998</v>
      </c>
      <c r="B403" t="s">
        <v>299</v>
      </c>
      <c r="D403">
        <v>146.1</v>
      </c>
      <c r="E403" t="s">
        <v>29</v>
      </c>
      <c r="F403">
        <v>0</v>
      </c>
    </row>
    <row r="404" spans="1:6">
      <c r="A404" s="15"/>
      <c r="D404">
        <v>41.7</v>
      </c>
      <c r="E404" t="s">
        <v>30</v>
      </c>
    </row>
    <row r="405" spans="1:6">
      <c r="A405" s="19">
        <v>4.1440000000000001</v>
      </c>
      <c r="B405" t="s">
        <v>78</v>
      </c>
      <c r="D405">
        <v>87.3</v>
      </c>
      <c r="E405" t="s">
        <v>30</v>
      </c>
      <c r="F405">
        <v>0</v>
      </c>
    </row>
    <row r="406" spans="1:6">
      <c r="A406" s="18">
        <v>4.17</v>
      </c>
      <c r="B406" t="s">
        <v>319</v>
      </c>
      <c r="E406" t="s">
        <v>30</v>
      </c>
      <c r="F406">
        <v>0</v>
      </c>
    </row>
    <row r="407" spans="1:6">
      <c r="A407" s="17">
        <v>4.2</v>
      </c>
      <c r="B407" t="s">
        <v>320</v>
      </c>
      <c r="E407" t="s">
        <v>30</v>
      </c>
      <c r="F407">
        <v>0</v>
      </c>
    </row>
    <row r="408" spans="1:6">
      <c r="A408" s="18">
        <v>4.21</v>
      </c>
      <c r="B408" t="s">
        <v>301</v>
      </c>
      <c r="E408" t="s">
        <v>30</v>
      </c>
      <c r="F408">
        <v>0</v>
      </c>
    </row>
    <row r="409" spans="1:6">
      <c r="A409" s="19">
        <v>4.2100099999999996</v>
      </c>
      <c r="B409" t="s">
        <v>302</v>
      </c>
      <c r="E409" t="s">
        <v>30</v>
      </c>
      <c r="F409">
        <v>0</v>
      </c>
    </row>
    <row r="410" spans="1:6">
      <c r="A410" s="18">
        <v>4.22</v>
      </c>
      <c r="B410" t="s">
        <v>321</v>
      </c>
      <c r="E410" t="s">
        <v>30</v>
      </c>
      <c r="F410">
        <v>0</v>
      </c>
    </row>
    <row r="411" spans="1:6">
      <c r="A411" s="18">
        <v>4.2300000000000004</v>
      </c>
      <c r="B411" t="s">
        <v>303</v>
      </c>
      <c r="E411" t="s">
        <v>30</v>
      </c>
      <c r="F411">
        <v>0</v>
      </c>
    </row>
    <row r="412" spans="1:6">
      <c r="A412" s="18">
        <v>4.24</v>
      </c>
      <c r="B412" t="s">
        <v>304</v>
      </c>
      <c r="E412" t="s">
        <v>30</v>
      </c>
      <c r="F412">
        <v>0</v>
      </c>
    </row>
    <row r="413" spans="1:6">
      <c r="A413" s="17">
        <v>4.3</v>
      </c>
      <c r="B413" t="s">
        <v>305</v>
      </c>
      <c r="D413">
        <v>129.80000000000001</v>
      </c>
      <c r="E413" t="s">
        <v>29</v>
      </c>
      <c r="F413">
        <v>0</v>
      </c>
    </row>
    <row r="414" spans="1:6">
      <c r="A414" s="15"/>
      <c r="D414">
        <v>-354.5</v>
      </c>
      <c r="E414" t="s">
        <v>30</v>
      </c>
    </row>
    <row r="415" spans="1:6">
      <c r="A415" s="18">
        <v>4.3099999999999996</v>
      </c>
      <c r="B415" t="s">
        <v>322</v>
      </c>
      <c r="D415">
        <v>-867.5</v>
      </c>
      <c r="E415" t="s">
        <v>30</v>
      </c>
      <c r="F415">
        <v>0</v>
      </c>
    </row>
    <row r="416" spans="1:6">
      <c r="A416" s="18">
        <v>4.32</v>
      </c>
      <c r="B416" t="s">
        <v>306</v>
      </c>
      <c r="E416" t="s">
        <v>30</v>
      </c>
      <c r="F416">
        <v>0</v>
      </c>
    </row>
    <row r="417" spans="1:6">
      <c r="A417" s="19">
        <v>4.3209999999999997</v>
      </c>
      <c r="B417" t="s">
        <v>307</v>
      </c>
      <c r="E417" t="s">
        <v>30</v>
      </c>
      <c r="F417">
        <v>0</v>
      </c>
    </row>
    <row r="418" spans="1:6">
      <c r="A418" s="19">
        <v>4.3220000000000001</v>
      </c>
      <c r="B418" t="s">
        <v>308</v>
      </c>
      <c r="E418" t="s">
        <v>30</v>
      </c>
      <c r="F418">
        <v>0</v>
      </c>
    </row>
    <row r="419" spans="1:6">
      <c r="A419" s="18">
        <v>4.33</v>
      </c>
      <c r="B419" t="s">
        <v>262</v>
      </c>
      <c r="D419">
        <v>196.8</v>
      </c>
      <c r="E419" t="s">
        <v>30</v>
      </c>
      <c r="F419">
        <v>0</v>
      </c>
    </row>
    <row r="420" spans="1:6">
      <c r="A420" s="19">
        <v>4.3310000000000004</v>
      </c>
      <c r="B420" t="s">
        <v>309</v>
      </c>
      <c r="D420">
        <v>98.5</v>
      </c>
      <c r="E420" t="s">
        <v>30</v>
      </c>
      <c r="F420">
        <v>0</v>
      </c>
    </row>
    <row r="421" spans="1:6">
      <c r="A421" s="20">
        <v>4.3311000000000002</v>
      </c>
      <c r="B421" t="s">
        <v>323</v>
      </c>
      <c r="E421" t="s">
        <v>30</v>
      </c>
      <c r="F421">
        <v>0</v>
      </c>
    </row>
    <row r="422" spans="1:6">
      <c r="A422" s="20">
        <v>4.3312999999999997</v>
      </c>
      <c r="B422" t="s">
        <v>310</v>
      </c>
      <c r="E422" t="s">
        <v>30</v>
      </c>
      <c r="F422">
        <v>0</v>
      </c>
    </row>
    <row r="423" spans="1:6">
      <c r="A423" s="20">
        <v>4.3314000000000004</v>
      </c>
      <c r="B423" t="s">
        <v>311</v>
      </c>
      <c r="D423">
        <v>98.5</v>
      </c>
      <c r="E423" t="s">
        <v>30</v>
      </c>
      <c r="F423">
        <v>0</v>
      </c>
    </row>
    <row r="424" spans="1:6">
      <c r="A424" s="19">
        <v>4.3319999999999999</v>
      </c>
      <c r="B424" t="s">
        <v>312</v>
      </c>
      <c r="D424">
        <v>79.3</v>
      </c>
      <c r="E424" t="s">
        <v>30</v>
      </c>
      <c r="F424">
        <v>0</v>
      </c>
    </row>
    <row r="425" spans="1:6">
      <c r="A425" s="19">
        <v>4.3339999999999996</v>
      </c>
      <c r="B425" t="s">
        <v>313</v>
      </c>
      <c r="D425">
        <v>19</v>
      </c>
      <c r="E425" t="s">
        <v>30</v>
      </c>
      <c r="F425">
        <v>0</v>
      </c>
    </row>
    <row r="426" spans="1:6">
      <c r="A426" s="18">
        <v>4.34</v>
      </c>
      <c r="B426" t="s">
        <v>324</v>
      </c>
      <c r="D426">
        <v>27.2</v>
      </c>
      <c r="E426" t="s">
        <v>30</v>
      </c>
      <c r="F426">
        <v>0</v>
      </c>
    </row>
    <row r="427" spans="1:6">
      <c r="A427" s="19">
        <v>4.3410000000000002</v>
      </c>
      <c r="B427" t="s">
        <v>314</v>
      </c>
      <c r="D427">
        <v>18.100000000000001</v>
      </c>
      <c r="E427" t="s">
        <v>30</v>
      </c>
      <c r="F427">
        <v>0</v>
      </c>
    </row>
    <row r="428" spans="1:6">
      <c r="A428" s="19">
        <v>4.3419999999999996</v>
      </c>
      <c r="B428" t="s">
        <v>315</v>
      </c>
      <c r="D428">
        <v>9.1</v>
      </c>
      <c r="E428" t="s">
        <v>30</v>
      </c>
      <c r="F428">
        <v>0</v>
      </c>
    </row>
    <row r="429" spans="1:6">
      <c r="A429" s="18">
        <v>4.3499999999999996</v>
      </c>
      <c r="B429" t="s">
        <v>316</v>
      </c>
      <c r="D429">
        <v>37.9</v>
      </c>
      <c r="E429" t="s">
        <v>30</v>
      </c>
      <c r="F429">
        <v>0</v>
      </c>
    </row>
    <row r="430" spans="1:6">
      <c r="A430" s="18">
        <v>4.3600000000000003</v>
      </c>
      <c r="B430" t="s">
        <v>317</v>
      </c>
      <c r="D430">
        <v>129.80000000000001</v>
      </c>
      <c r="E430" t="s">
        <v>29</v>
      </c>
      <c r="F430">
        <v>0</v>
      </c>
    </row>
    <row r="431" spans="1:6">
      <c r="A431" s="13"/>
      <c r="D431">
        <v>251.1</v>
      </c>
      <c r="E431" t="s">
        <v>30</v>
      </c>
    </row>
    <row r="432" spans="1:6">
      <c r="A432" s="16"/>
    </row>
    <row r="433" spans="1:6">
      <c r="A433" s="13" t="s">
        <v>0</v>
      </c>
    </row>
    <row r="434" spans="1:6">
      <c r="A434" s="13" t="s">
        <v>1</v>
      </c>
    </row>
    <row r="435" spans="1:6">
      <c r="A435" s="14"/>
    </row>
    <row r="436" spans="1:6">
      <c r="A436" s="15" t="s">
        <v>23</v>
      </c>
      <c r="B436" t="s">
        <v>24</v>
      </c>
      <c r="C436" t="s">
        <v>25</v>
      </c>
      <c r="F436" s="416"/>
    </row>
    <row r="437" spans="1:6">
      <c r="A437" s="15">
        <v>1.3813</v>
      </c>
      <c r="B437" t="s">
        <v>85</v>
      </c>
      <c r="C437">
        <v>212.6</v>
      </c>
      <c r="F437" s="416"/>
    </row>
    <row r="438" spans="1:6">
      <c r="A438" s="15">
        <v>3.9110100000000001</v>
      </c>
      <c r="B438" t="s">
        <v>282</v>
      </c>
      <c r="C438">
        <v>1689.2</v>
      </c>
      <c r="F438" s="416"/>
    </row>
    <row r="439" spans="1:6">
      <c r="A439" s="15">
        <v>3.9110399999999998</v>
      </c>
      <c r="B439" t="s">
        <v>283</v>
      </c>
      <c r="C439">
        <v>466.2</v>
      </c>
      <c r="F439" s="416"/>
    </row>
    <row r="440" spans="1:6">
      <c r="A440" s="15">
        <v>3.9140000000000001</v>
      </c>
      <c r="B440" t="s">
        <v>284</v>
      </c>
      <c r="F440" s="416"/>
    </row>
    <row r="441" spans="1:6">
      <c r="A441" s="15">
        <v>3.92</v>
      </c>
      <c r="B441" t="s">
        <v>285</v>
      </c>
      <c r="F441" s="416"/>
    </row>
    <row r="442" spans="1:6">
      <c r="A442" s="34">
        <v>3.93</v>
      </c>
      <c r="B442" s="33" t="s">
        <v>286</v>
      </c>
      <c r="C442" s="33">
        <v>60.2</v>
      </c>
      <c r="F442" s="416"/>
    </row>
    <row r="443" spans="1:6">
      <c r="A443" s="35"/>
      <c r="B443" s="27" t="s">
        <v>325</v>
      </c>
      <c r="C443" s="27"/>
      <c r="F443" s="416"/>
    </row>
    <row r="444" spans="1:6">
      <c r="A444" s="15"/>
      <c r="B444" t="s">
        <v>326</v>
      </c>
      <c r="C444">
        <f>SUM(C437:C443)</f>
        <v>2428.1999999999998</v>
      </c>
      <c r="F444" s="416"/>
    </row>
    <row r="445" spans="1:6">
      <c r="A445" s="14"/>
      <c r="F445" s="415"/>
    </row>
    <row r="446" spans="1:6">
      <c r="A446" s="13" t="s">
        <v>2</v>
      </c>
      <c r="F446" s="416"/>
    </row>
    <row r="447" spans="1:6">
      <c r="A447" s="13" t="s">
        <v>3</v>
      </c>
      <c r="F447" s="416"/>
    </row>
    <row r="448" spans="1:6">
      <c r="A448" s="13" t="s">
        <v>4</v>
      </c>
      <c r="F448" s="416"/>
    </row>
    <row r="449" spans="1:6">
      <c r="A449" s="14"/>
    </row>
    <row r="450" spans="1:6">
      <c r="A450" s="13" t="s">
        <v>5</v>
      </c>
    </row>
    <row r="451" spans="1:6">
      <c r="A451" s="13" t="s">
        <v>6</v>
      </c>
    </row>
    <row r="452" spans="1:6">
      <c r="A452" s="13" t="s">
        <v>7</v>
      </c>
    </row>
    <row r="453" spans="1:6">
      <c r="A453" s="14"/>
    </row>
    <row r="454" spans="1:6">
      <c r="A454" s="1" t="s">
        <v>23</v>
      </c>
      <c r="B454" t="s">
        <v>24</v>
      </c>
      <c r="C454" t="s">
        <v>25</v>
      </c>
    </row>
    <row r="455" spans="1:6">
      <c r="A455" s="15">
        <v>1.3813</v>
      </c>
      <c r="B455" t="s">
        <v>85</v>
      </c>
      <c r="C455">
        <v>212.6</v>
      </c>
    </row>
    <row r="456" spans="1:6">
      <c r="A456" s="15">
        <v>3.9110100000000001</v>
      </c>
      <c r="B456" t="s">
        <v>282</v>
      </c>
      <c r="C456">
        <v>1689.2</v>
      </c>
    </row>
    <row r="457" spans="1:6">
      <c r="A457" s="15">
        <v>3.9110399999999998</v>
      </c>
      <c r="B457" t="s">
        <v>283</v>
      </c>
      <c r="C457">
        <v>466.2</v>
      </c>
    </row>
    <row r="458" spans="1:6">
      <c r="A458" s="15">
        <v>3.9140000000000001</v>
      </c>
      <c r="B458" t="s">
        <v>284</v>
      </c>
      <c r="F458" s="415"/>
    </row>
    <row r="459" spans="1:6">
      <c r="A459" s="15">
        <v>3.93</v>
      </c>
      <c r="B459" t="s">
        <v>286</v>
      </c>
      <c r="C459">
        <v>60.2</v>
      </c>
      <c r="F459" s="415"/>
    </row>
    <row r="460" spans="1:6">
      <c r="A460" s="15">
        <v>3.95</v>
      </c>
      <c r="B460" t="s">
        <v>290</v>
      </c>
      <c r="C460">
        <v>330.3</v>
      </c>
      <c r="F460" s="415"/>
    </row>
    <row r="461" spans="1:6">
      <c r="A461" s="36"/>
      <c r="B461" s="27" t="s">
        <v>327</v>
      </c>
      <c r="C461" s="27"/>
      <c r="F461" s="416"/>
    </row>
    <row r="462" spans="1:6">
      <c r="B462" s="13" t="s">
        <v>328</v>
      </c>
      <c r="C462">
        <v>2758.5</v>
      </c>
      <c r="F462" s="416"/>
    </row>
    <row r="463" spans="1:6">
      <c r="A463" s="14"/>
      <c r="F463" s="416"/>
    </row>
    <row r="464" spans="1:6">
      <c r="A464" s="13" t="s">
        <v>8</v>
      </c>
      <c r="F464" s="415"/>
    </row>
    <row r="465" spans="1:6">
      <c r="A465" s="13" t="s">
        <v>9</v>
      </c>
      <c r="F465" s="416"/>
    </row>
    <row r="466" spans="1:6">
      <c r="A466" s="16"/>
      <c r="F466" s="416"/>
    </row>
    <row r="467" spans="1:6">
      <c r="F467" s="416"/>
    </row>
    <row r="468" spans="1:6">
      <c r="F468" s="416"/>
    </row>
    <row r="469" spans="1:6">
      <c r="F469" s="416"/>
    </row>
    <row r="470" spans="1:6">
      <c r="F470" s="416"/>
    </row>
    <row r="471" spans="1:6">
      <c r="F471" s="416"/>
    </row>
    <row r="472" spans="1:6">
      <c r="F472" s="416"/>
    </row>
    <row r="473" spans="1:6">
      <c r="F473" s="416"/>
    </row>
    <row r="474" spans="1:6">
      <c r="F474" s="416"/>
    </row>
    <row r="475" spans="1:6">
      <c r="F475" s="416"/>
    </row>
    <row r="476" spans="1:6">
      <c r="F476" s="4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32</vt:i4>
      </vt:variant>
      <vt:variant>
        <vt:lpstr>Named Ranges</vt:lpstr>
      </vt:variant>
      <vt:variant>
        <vt:i4>5</vt:i4>
      </vt:variant>
    </vt:vector>
  </HeadingPairs>
  <TitlesOfParts>
    <vt:vector size="46" baseType="lpstr">
      <vt:lpstr>Areas</vt:lpstr>
      <vt:lpstr>USCG Summary</vt:lpstr>
      <vt:lpstr>Flt III</vt:lpstr>
      <vt:lpstr>Flt IIa</vt:lpstr>
      <vt:lpstr>OPC Des</vt:lpstr>
      <vt:lpstr>LCS 5</vt:lpstr>
      <vt:lpstr>Comp</vt:lpstr>
      <vt:lpstr>Blk 1</vt:lpstr>
      <vt:lpstr>Future</vt:lpstr>
      <vt:lpstr>1-Mission Supt</vt:lpstr>
      <vt:lpstr>1.1-C2S</vt:lpstr>
      <vt:lpstr>1.2-Weapons</vt:lpstr>
      <vt:lpstr>1.3-Aviation</vt:lpstr>
      <vt:lpstr>1.9-SArms &amp; Pyro</vt:lpstr>
      <vt:lpstr>2-Human Supt</vt:lpstr>
      <vt:lpstr>2-Human Supt (2)</vt:lpstr>
      <vt:lpstr>2.1-Living</vt:lpstr>
      <vt:lpstr>2.1-Living (2)</vt:lpstr>
      <vt:lpstr>2.2-Commissary</vt:lpstr>
      <vt:lpstr>2.2-Commissary (2)</vt:lpstr>
      <vt:lpstr>2.3-Med &amp; Dental</vt:lpstr>
      <vt:lpstr>2.3-Med &amp; Dental (2)</vt:lpstr>
      <vt:lpstr>2.4-General Services</vt:lpstr>
      <vt:lpstr>2.4-General Services (2)</vt:lpstr>
      <vt:lpstr>2.5-Personnel Stores</vt:lpstr>
      <vt:lpstr>2.5-Personnel Stores (2)</vt:lpstr>
      <vt:lpstr>2.6-CBR Protection</vt:lpstr>
      <vt:lpstr>2.6-CBR Protection (2)</vt:lpstr>
      <vt:lpstr>3-Ship Supt</vt:lpstr>
      <vt:lpstr>3.1-Steering</vt:lpstr>
      <vt:lpstr>3.2-Dmg Cntrl</vt:lpstr>
      <vt:lpstr>3.3-Ship Admin</vt:lpstr>
      <vt:lpstr>3.5-Deck Aux</vt:lpstr>
      <vt:lpstr>3.6-Ship Mnt</vt:lpstr>
      <vt:lpstr>3.7-Stowage</vt:lpstr>
      <vt:lpstr>3.8-Access</vt:lpstr>
      <vt:lpstr>3.9-Tanks</vt:lpstr>
      <vt:lpstr>4-Ship Machy System</vt:lpstr>
      <vt:lpstr>4.1-Propulsion</vt:lpstr>
      <vt:lpstr>4.2-Propulsor &amp; Trans</vt:lpstr>
      <vt:lpstr>4.3-Aux Machy</vt:lpstr>
      <vt:lpstr>'LCS 5'!Print_Area</vt:lpstr>
      <vt:lpstr>'OPC Des'!Print_Area</vt:lpstr>
      <vt:lpstr>'Flt III'!Print_Titles</vt:lpstr>
      <vt:lpstr>'LCS 5'!Print_Titles</vt:lpstr>
      <vt:lpstr>'OPC 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Naughton, Patrick</dc:creator>
  <cp:lastModifiedBy>Naughton, Patrick</cp:lastModifiedBy>
  <dcterms:created xsi:type="dcterms:W3CDTF">2020-04-27T15:48:25Z</dcterms:created>
  <dcterms:modified xsi:type="dcterms:W3CDTF">2020-07-27T16:14:38Z</dcterms:modified>
</cp:coreProperties>
</file>