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naughton\Desktop\"/>
    </mc:Choice>
  </mc:AlternateContent>
  <bookViews>
    <workbookView xWindow="0" yWindow="0" windowWidth="19200" windowHeight="7050"/>
  </bookViews>
  <sheets>
    <sheet name="SHP0073" sheetId="11" r:id="rId1"/>
    <sheet name="External Hull" sheetId="17" r:id="rId2"/>
    <sheet name="Weather Dk" sheetId="12" r:id="rId3"/>
    <sheet name="Dk Hs External" sheetId="18" r:id="rId4"/>
    <sheet name="Inner Dks" sheetId="13" r:id="rId5"/>
    <sheet name="DH Inner Dks" sheetId="14" r:id="rId6"/>
    <sheet name="TBHDs" sheetId="16" r:id="rId7"/>
    <sheet name="LBHDs" sheetId="15" r:id="rId8"/>
    <sheet name="SHP0078Ref" sheetId="7" r:id="rId9"/>
    <sheet name="SHP0078ARef" sheetId="8" r:id="rId10"/>
    <sheet name="SHP68 Deckhouse Values" sheetId="10" r:id="rId11"/>
  </sheets>
  <externalReferences>
    <externalReference r:id="rId12"/>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3" i="16" l="1"/>
  <c r="B12" i="16"/>
  <c r="B11" i="16"/>
  <c r="B10" i="16"/>
  <c r="B9" i="16"/>
  <c r="B8" i="16"/>
  <c r="B7" i="16"/>
  <c r="B6" i="16"/>
  <c r="B5" i="16"/>
  <c r="B4" i="16"/>
  <c r="B2" i="16"/>
  <c r="B3" i="16"/>
  <c r="B4" i="15"/>
  <c r="B2" i="15"/>
  <c r="B4" i="12"/>
  <c r="B3" i="12"/>
  <c r="B2" i="12"/>
  <c r="B4" i="13"/>
  <c r="B8" i="13"/>
  <c r="B7" i="13"/>
  <c r="B15" i="13"/>
  <c r="B14" i="13"/>
  <c r="B13" i="13"/>
  <c r="B18" i="13"/>
  <c r="B20" i="13"/>
  <c r="D22" i="13"/>
  <c r="C6" i="11" l="1"/>
  <c r="C5" i="11"/>
  <c r="C3" i="11"/>
  <c r="C19" i="11" l="1"/>
  <c r="H44" i="18"/>
  <c r="H42" i="18"/>
  <c r="E41" i="18"/>
  <c r="F41" i="18" s="1"/>
  <c r="H41" i="18" s="1"/>
  <c r="E40" i="18"/>
  <c r="F40" i="18" s="1"/>
  <c r="H40" i="18" s="1"/>
  <c r="B40" i="18"/>
  <c r="H37" i="18"/>
  <c r="E36" i="18"/>
  <c r="F36" i="18" s="1"/>
  <c r="H36" i="18" s="1"/>
  <c r="E35" i="18"/>
  <c r="F35" i="18" s="1"/>
  <c r="H35" i="18" s="1"/>
  <c r="E34" i="18"/>
  <c r="F34" i="18" s="1"/>
  <c r="H34" i="18" s="1"/>
  <c r="E33" i="18"/>
  <c r="F33" i="18" s="1"/>
  <c r="H33" i="18" s="1"/>
  <c r="C35" i="18"/>
  <c r="E29" i="18"/>
  <c r="F29" i="18" s="1"/>
  <c r="H29" i="18" s="1"/>
  <c r="H30" i="18" s="1"/>
  <c r="E28" i="18"/>
  <c r="F28" i="18" s="1"/>
  <c r="H28" i="18" s="1"/>
  <c r="E27" i="18"/>
  <c r="F27" i="18" s="1"/>
  <c r="H27" i="18" s="1"/>
  <c r="F26" i="18"/>
  <c r="H26" i="18" s="1"/>
  <c r="E26" i="18"/>
  <c r="E25" i="18"/>
  <c r="F25" i="18" s="1"/>
  <c r="H25" i="18" s="1"/>
  <c r="C29" i="18"/>
  <c r="C28" i="18"/>
  <c r="H22" i="18"/>
  <c r="F21" i="18"/>
  <c r="H21" i="18" s="1"/>
  <c r="E21" i="18"/>
  <c r="E20" i="18"/>
  <c r="F20" i="18" s="1"/>
  <c r="H20" i="18" s="1"/>
  <c r="H17" i="18"/>
  <c r="F16" i="18"/>
  <c r="H16" i="18" s="1"/>
  <c r="E16" i="18"/>
  <c r="E15" i="18"/>
  <c r="F15" i="18" s="1"/>
  <c r="H15" i="18" s="1"/>
  <c r="E14" i="18"/>
  <c r="F14" i="18" s="1"/>
  <c r="H14" i="18" s="1"/>
  <c r="H11" i="18"/>
  <c r="F10" i="18"/>
  <c r="H10" i="18" s="1"/>
  <c r="E10" i="18"/>
  <c r="E9" i="18"/>
  <c r="F9" i="18" s="1"/>
  <c r="H9" i="18" s="1"/>
  <c r="H6" i="18"/>
  <c r="H3" i="18"/>
  <c r="H4" i="18"/>
  <c r="H5" i="18"/>
  <c r="H2" i="18"/>
  <c r="F3" i="18"/>
  <c r="F4" i="18"/>
  <c r="F5" i="18"/>
  <c r="F2" i="18"/>
  <c r="E3" i="18"/>
  <c r="E4" i="18"/>
  <c r="E5" i="18"/>
  <c r="E2" i="18"/>
  <c r="C11" i="11"/>
  <c r="F31" i="14"/>
  <c r="B18" i="12"/>
  <c r="B13" i="12"/>
  <c r="B12" i="12"/>
  <c r="B11" i="12"/>
  <c r="B17" i="12"/>
  <c r="B16" i="12"/>
  <c r="B15" i="12"/>
  <c r="B14" i="12"/>
  <c r="C18" i="11"/>
  <c r="B14" i="16"/>
  <c r="D14" i="16" s="1"/>
  <c r="C14" i="11" s="1"/>
  <c r="B5" i="15"/>
  <c r="B3" i="15"/>
  <c r="B6" i="15" s="1"/>
  <c r="D6" i="15" s="1"/>
  <c r="C15" i="11" s="1"/>
  <c r="B29" i="14"/>
  <c r="D28" i="14"/>
  <c r="B25" i="14"/>
  <c r="D24" i="14"/>
  <c r="B22" i="14"/>
  <c r="D21" i="14"/>
  <c r="B18" i="14"/>
  <c r="D17" i="14"/>
  <c r="B14" i="14"/>
  <c r="D13" i="14"/>
  <c r="B9" i="14"/>
  <c r="D8" i="14"/>
  <c r="B8" i="14"/>
  <c r="B7" i="14"/>
  <c r="D7" i="14" s="1"/>
  <c r="B6" i="14"/>
  <c r="D6" i="14" s="1"/>
  <c r="D5" i="14"/>
  <c r="B5" i="14"/>
  <c r="D4" i="14"/>
  <c r="D10" i="14" s="1"/>
  <c r="D31" i="14" s="1"/>
  <c r="B4" i="14"/>
  <c r="B10" i="14" s="1"/>
  <c r="B31" i="14" s="1"/>
  <c r="D3" i="14"/>
  <c r="B10" i="13"/>
  <c r="D10" i="13" s="1"/>
  <c r="B16" i="13"/>
  <c r="D16" i="13" s="1"/>
  <c r="D18" i="13"/>
  <c r="D20" i="13"/>
  <c r="B7" i="12"/>
  <c r="B5" i="12"/>
  <c r="C4" i="11" s="1"/>
  <c r="B20" i="12" l="1"/>
  <c r="B24" i="13"/>
  <c r="D24" i="13"/>
  <c r="C16" i="11"/>
  <c r="C4" i="7"/>
  <c r="F24" i="13" l="1"/>
  <c r="C10" i="11" s="1"/>
  <c r="C12" i="11" s="1"/>
  <c r="C21" i="11" s="1"/>
  <c r="C7" i="11"/>
  <c r="C5" i="8"/>
  <c r="C5" i="7"/>
  <c r="J9" i="7"/>
  <c r="J9" i="8"/>
  <c r="H14" i="8"/>
  <c r="H13" i="8"/>
  <c r="H12" i="8"/>
  <c r="H11" i="8"/>
  <c r="H10" i="8"/>
  <c r="H14" i="7"/>
  <c r="H13" i="7"/>
  <c r="H12" i="7"/>
  <c r="H11" i="7"/>
  <c r="H10" i="7"/>
  <c r="E11" i="10"/>
  <c r="C13" i="10" s="1"/>
  <c r="D11" i="10"/>
  <c r="C11" i="10"/>
  <c r="C10" i="8"/>
  <c r="C9" i="8"/>
  <c r="J8" i="8"/>
  <c r="J7" i="8"/>
  <c r="J6" i="8"/>
  <c r="J5" i="8"/>
  <c r="J4" i="8"/>
  <c r="J8" i="7"/>
  <c r="J7" i="7"/>
  <c r="J6" i="7"/>
  <c r="J5" i="7"/>
  <c r="J4" i="7"/>
  <c r="C10" i="7"/>
  <c r="C9" i="7"/>
  <c r="H16" i="8" l="1"/>
  <c r="H16" i="7"/>
  <c r="C8" i="8" l="1"/>
  <c r="C11" i="8" s="1"/>
  <c r="C12" i="8"/>
  <c r="J16" i="8"/>
  <c r="C4" i="8" s="1"/>
  <c r="C12" i="7"/>
  <c r="C8" i="7"/>
  <c r="C11" i="7" s="1"/>
  <c r="J16" i="7"/>
  <c r="C6" i="7" l="1"/>
  <c r="C6" i="8"/>
  <c r="C13" i="8"/>
  <c r="C13" i="7"/>
</calcChain>
</file>

<file path=xl/sharedStrings.xml><?xml version="1.0" encoding="utf-8"?>
<sst xmlns="http://schemas.openxmlformats.org/spreadsheetml/2006/main" count="248" uniqueCount="122">
  <si>
    <t>External Hull</t>
  </si>
  <si>
    <t>External Weather Deck</t>
  </si>
  <si>
    <t>External Deckhouse</t>
  </si>
  <si>
    <t>Total External</t>
  </si>
  <si>
    <t>Internal Decks</t>
  </si>
  <si>
    <t>Transverse Blkhds</t>
  </si>
  <si>
    <t>Longituinal Blkhds</t>
  </si>
  <si>
    <t>Total Bulkheads</t>
  </si>
  <si>
    <t>Internal Hull</t>
  </si>
  <si>
    <t>Total Internal</t>
  </si>
  <si>
    <t>Inner Bottom</t>
  </si>
  <si>
    <t>Deck #</t>
  </si>
  <si>
    <t>Decks</t>
  </si>
  <si>
    <t>Interior Area</t>
  </si>
  <si>
    <t>Total Area</t>
  </si>
  <si>
    <t>Exterior Area</t>
  </si>
  <si>
    <t>Calc Sum:</t>
  </si>
  <si>
    <t>Top of Margin Line*</t>
  </si>
  <si>
    <t>1*</t>
  </si>
  <si>
    <t>2*</t>
  </si>
  <si>
    <t>3*</t>
  </si>
  <si>
    <t>4*</t>
  </si>
  <si>
    <t>5*</t>
  </si>
  <si>
    <t>6*</t>
  </si>
  <si>
    <t>7*</t>
  </si>
  <si>
    <t xml:space="preserve">Area of the Port side, starboard side, and transom of hull form file. </t>
  </si>
  <si>
    <t>STEPS TO GET GEOMETRY FILES</t>
  </si>
  <si>
    <t>Open Database in Leaps Editor</t>
  </si>
  <si>
    <t>Navigate in the model to the 'Ship Geometry' Tree Item</t>
  </si>
  <si>
    <t>Expand Ship Geometry</t>
  </si>
  <si>
    <t>Expand 'Space Views'</t>
  </si>
  <si>
    <t>Expand 'Molded Form Views'</t>
  </si>
  <si>
    <t>Expand 'Views of Hulls'</t>
  </si>
  <si>
    <t>Click the circle to visualize the component 'Hulls'</t>
  </si>
  <si>
    <t>Right click 'Hulls' component</t>
  </si>
  <si>
    <t>Unclick the circle for 'Views of Hulls' and collapse</t>
  </si>
  <si>
    <t>Select 'Export to IGES' save as hulls geom file</t>
  </si>
  <si>
    <t>Expand 'View of Decks'</t>
  </si>
  <si>
    <t>Click the circle to visualize 'Decks' Component</t>
  </si>
  <si>
    <t>Right click 'Decks' component</t>
  </si>
  <si>
    <t>Select 'Export to IGES' save as Deck geom file</t>
  </si>
  <si>
    <t>Uncheck the circles</t>
  </si>
  <si>
    <t>Collapse 'Views of Decks'</t>
  </si>
  <si>
    <t>Expand 'Views of Bulkheads'</t>
  </si>
  <si>
    <t>Export 'Transverse Bulkheads' component as transverse bulkhead items</t>
  </si>
  <si>
    <t>Export 'Longitudinal Bulkheads' component as Longitudinal bulkhead items</t>
  </si>
  <si>
    <t>Collapse 'Molded Form Views'</t>
  </si>
  <si>
    <t>Expand ' Views of Compartments'</t>
  </si>
  <si>
    <t>8*</t>
  </si>
  <si>
    <t>This is calculated as the sum of the deck area that is not interior. See step 8* for details</t>
  </si>
  <si>
    <t>Export the 'Compartments' component as a total geometry export</t>
  </si>
  <si>
    <t>This is calculated as the sum of the deck area that is interior. Notably, all decks except the inner bottom are double counted to account for floor and ceiling area. See step 8* for details</t>
  </si>
  <si>
    <t>Get area from Transverse bulkheads component export. Multiply area from Rhino by 2 to account for both sides of bulkheads</t>
  </si>
  <si>
    <t>Get area from Longitudinal bulkheads component export. Multiply area from Rhino by 2 to account for both sides of bulkheads</t>
  </si>
  <si>
    <t>The same area as calculate in 1*</t>
  </si>
  <si>
    <t>Calculate area of decks from the inner bottom to the top most deckhouse deck. Note: Exterior and interior deck geometry will not be clear in Rhino files - you must use the full ship geometry from the compartments export to identify which area to count in which category. Note: For deckhouses that represent stacks (modelled in RSDE as spanning mutliple decks - one deckhouse compartment across mroe than a single deck - Rhino will show deck geometry in the stacks where it should not be for this analysis. Decks that exist inside of stacks should not be counted.</t>
  </si>
  <si>
    <t>Use the Components geometry to calculate what the external area of the deckhouse surfaces is. This includes bulhead and deck surfaces that are exposed to the weather.</t>
  </si>
  <si>
    <t>SHP 68 Internal Deck</t>
  </si>
  <si>
    <t>Transverse Blkhead Area</t>
  </si>
  <si>
    <t>Longitudinal Blkhead Area</t>
  </si>
  <si>
    <t>SHP 0078</t>
  </si>
  <si>
    <t>SHP 0078A</t>
  </si>
  <si>
    <t>Wall</t>
  </si>
  <si>
    <t>Internal deck</t>
  </si>
  <si>
    <t>External Deck</t>
  </si>
  <si>
    <t>Deckhouse Main Deck Area</t>
  </si>
  <si>
    <t>m^2</t>
  </si>
  <si>
    <t>External Deckhouse Area</t>
  </si>
  <si>
    <t>Sum</t>
  </si>
  <si>
    <t>Taken from SHP 0068 Area Calcs</t>
  </si>
  <si>
    <t>SHP 68 External Deck</t>
  </si>
  <si>
    <t>Yelow fill signifies from SHP 68 excel tab:</t>
  </si>
  <si>
    <t>Weather Deck</t>
  </si>
  <si>
    <t>Fore Deck</t>
  </si>
  <si>
    <t>Midship</t>
  </si>
  <si>
    <t>Aft</t>
  </si>
  <si>
    <t>Fore Deck Cut Outs</t>
  </si>
  <si>
    <t>Dk Area</t>
  </si>
  <si>
    <t>Over Head</t>
  </si>
  <si>
    <t>(Dk Blw)</t>
  </si>
  <si>
    <t>2nd Deck</t>
  </si>
  <si>
    <t>3rd Deck</t>
  </si>
  <si>
    <t>1st Platform</t>
  </si>
  <si>
    <t>Fwd</t>
  </si>
  <si>
    <t>Mid</t>
  </si>
  <si>
    <t>2nd Platform</t>
  </si>
  <si>
    <t>Ttop</t>
  </si>
  <si>
    <t>Fwd DH</t>
  </si>
  <si>
    <t>Mid DH</t>
  </si>
  <si>
    <t>Stack</t>
  </si>
  <si>
    <t>Aft DH</t>
  </si>
  <si>
    <t>Ext</t>
  </si>
  <si>
    <t>Hangar</t>
  </si>
  <si>
    <t>LBHDs</t>
  </si>
  <si>
    <t>x2</t>
  </si>
  <si>
    <t>Area</t>
  </si>
  <si>
    <t>From Rhino</t>
  </si>
  <si>
    <t xml:space="preserve">Dk Hs </t>
  </si>
  <si>
    <t>Hull</t>
  </si>
  <si>
    <t>Deck House</t>
  </si>
  <si>
    <t>Area of the Port side, starboard side, and transom of hull form file.  See Tab - External Hull</t>
  </si>
  <si>
    <t>This is calculated as the sum of the deck area that is not interior.  See Tab - Weather Dk</t>
  </si>
  <si>
    <t>Use the Components geometry to calculate what the external area of the deckhouse surfaces is. This includes bulhead and deck surfaces that are exposed to the weather.  See Tab - Dk Hs External</t>
  </si>
  <si>
    <t>This is calculated as the sum of the deck area that is interior. Notably, all decks except the inner bottom are double counted to account for floor and ceiling area. See Tabs - Inner Dks &amp; DH Inner Dks</t>
  </si>
  <si>
    <t>Get area from Transverse bulkheads component export. Multiply area by 2 to account for both sides of bulkheads.  See Tab - TBHDs</t>
  </si>
  <si>
    <t>Get area from Longitudinal bulkheads component export. Multiply area by 2 to account for both sides of bulkheads.  See Tab - LBHDs</t>
  </si>
  <si>
    <t>Total Decks</t>
  </si>
  <si>
    <t>x</t>
  </si>
  <si>
    <t>L1</t>
  </si>
  <si>
    <t>L2</t>
  </si>
  <si>
    <t>H</t>
  </si>
  <si>
    <t>ft2</t>
  </si>
  <si>
    <t>m2</t>
  </si>
  <si>
    <t>Octagon</t>
  </si>
  <si>
    <t>1/2 Octagon</t>
  </si>
  <si>
    <t>Square</t>
  </si>
  <si>
    <t>Internal Dk Hs</t>
  </si>
  <si>
    <t>The same area as calculated in 1*</t>
  </si>
  <si>
    <t>The same area as calculated in 3*</t>
  </si>
  <si>
    <t>SHP 0074</t>
  </si>
  <si>
    <t>External Deckhouse Sides</t>
  </si>
  <si>
    <t>External Deckhouse Decks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</si>
</sst>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_(* #,##0_);_(* \(#,##0\);_(* &quot;-&quot;??_);_(@_)"/>
    <numFmt numFmtId="165" formatCode="0.0"/>
  </numFmts>
  <fonts count="6" x14ac:knownFonts="1">
    <font>
      <sz val="11"/>
      <color theme="1"/>
      <name val="Calibri"/>
      <family val="2"/>
      <scheme val="minor"/>
    </font>
    <font>
      <sz val="11"/>
      <color theme="1"/>
      <name val="Calibri"/>
      <family val="2"/>
      <scheme val="minor"/>
    </font>
    <font>
      <b/>
      <sz val="11"/>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s>
  <fills count="13">
    <fill>
      <patternFill patternType="none"/>
    </fill>
    <fill>
      <patternFill patternType="gray125"/>
    </fill>
    <fill>
      <patternFill patternType="solid">
        <fgColor theme="1"/>
        <bgColor indexed="64"/>
      </patternFill>
    </fill>
    <fill>
      <patternFill patternType="solid">
        <fgColor rgb="FFFFFF66"/>
        <bgColor indexed="64"/>
      </patternFill>
    </fill>
    <fill>
      <patternFill patternType="solid">
        <fgColor rgb="FFFFFF0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00B0F0"/>
        <bgColor indexed="64"/>
      </patternFill>
    </fill>
    <fill>
      <patternFill patternType="solid">
        <fgColor rgb="FFFF0000"/>
        <bgColor indexed="64"/>
      </patternFill>
    </fill>
    <fill>
      <patternFill patternType="solid">
        <fgColor rgb="FF92D050"/>
        <bgColor indexed="64"/>
      </patternFill>
    </fill>
    <fill>
      <patternFill patternType="solid">
        <fgColor rgb="FF0070C0"/>
        <bgColor indexed="64"/>
      </patternFill>
    </fill>
    <fill>
      <patternFill patternType="solid">
        <fgColor rgb="FF7030A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bottom style="double">
        <color indexed="64"/>
      </bottom>
      <diagonal/>
    </border>
  </borders>
  <cellStyleXfs count="2">
    <xf numFmtId="0" fontId="0" fillId="0" borderId="0"/>
    <xf numFmtId="43" fontId="1" fillId="0" borderId="0" applyFont="0" applyFill="0" applyBorder="0" applyAlignment="0" applyProtection="0"/>
  </cellStyleXfs>
  <cellXfs count="118">
    <xf numFmtId="0" fontId="0" fillId="0" borderId="0" xfId="0"/>
    <xf numFmtId="0" fontId="0" fillId="0" borderId="1" xfId="0" applyBorder="1"/>
    <xf numFmtId="164" fontId="0" fillId="0" borderId="2" xfId="1" applyNumberFormat="1" applyFont="1" applyBorder="1"/>
    <xf numFmtId="164" fontId="0" fillId="0" borderId="1" xfId="1" applyNumberFormat="1" applyFont="1" applyBorder="1"/>
    <xf numFmtId="0" fontId="0" fillId="0" borderId="3" xfId="0" applyBorder="1"/>
    <xf numFmtId="164" fontId="0" fillId="0" borderId="3" xfId="1" applyNumberFormat="1" applyFont="1" applyBorder="1"/>
    <xf numFmtId="0" fontId="2" fillId="0" borderId="4" xfId="0" applyFont="1" applyBorder="1"/>
    <xf numFmtId="164" fontId="2" fillId="0" borderId="5" xfId="1" applyNumberFormat="1" applyFont="1" applyBorder="1"/>
    <xf numFmtId="0" fontId="0" fillId="0" borderId="1" xfId="0" applyBorder="1" applyAlignment="1">
      <alignment horizontal="right"/>
    </xf>
    <xf numFmtId="0" fontId="0" fillId="0" borderId="3" xfId="0" applyBorder="1" applyAlignment="1">
      <alignment horizontal="right"/>
    </xf>
    <xf numFmtId="0" fontId="0" fillId="0" borderId="2" xfId="0" applyBorder="1"/>
    <xf numFmtId="0" fontId="2" fillId="0" borderId="2" xfId="0" applyFont="1" applyBorder="1"/>
    <xf numFmtId="164" fontId="2" fillId="0" borderId="2" xfId="1" applyNumberFormat="1" applyFont="1" applyBorder="1"/>
    <xf numFmtId="0" fontId="0" fillId="2" borderId="0" xfId="0" applyFill="1"/>
    <xf numFmtId="164" fontId="0" fillId="2" borderId="0" xfId="1" applyNumberFormat="1" applyFont="1" applyFill="1" applyBorder="1"/>
    <xf numFmtId="164" fontId="2" fillId="2" borderId="0" xfId="1" applyNumberFormat="1" applyFont="1" applyFill="1" applyBorder="1"/>
    <xf numFmtId="164" fontId="0" fillId="0" borderId="0" xfId="1" applyNumberFormat="1" applyFont="1" applyBorder="1"/>
    <xf numFmtId="164" fontId="2" fillId="0" borderId="0" xfId="1" applyNumberFormat="1" applyFont="1" applyBorder="1"/>
    <xf numFmtId="0" fontId="0" fillId="0" borderId="6" xfId="0" applyBorder="1"/>
    <xf numFmtId="0" fontId="0" fillId="0" borderId="7" xfId="0" applyBorder="1"/>
    <xf numFmtId="0" fontId="0" fillId="0" borderId="8" xfId="0" applyBorder="1" applyAlignment="1">
      <alignment horizontal="right"/>
    </xf>
    <xf numFmtId="0" fontId="0" fillId="0" borderId="11" xfId="0" applyBorder="1" applyAlignment="1">
      <alignment horizontal="right"/>
    </xf>
    <xf numFmtId="0" fontId="0" fillId="0" borderId="13" xfId="0" applyBorder="1" applyAlignment="1">
      <alignment horizontal="right"/>
    </xf>
    <xf numFmtId="0" fontId="0" fillId="0" borderId="0" xfId="0" applyAlignment="1">
      <alignment wrapText="1"/>
    </xf>
    <xf numFmtId="0" fontId="0" fillId="0" borderId="19" xfId="0" applyFill="1" applyBorder="1" applyAlignment="1">
      <alignment horizontal="right"/>
    </xf>
    <xf numFmtId="0" fontId="0" fillId="0" borderId="0" xfId="0" applyAlignment="1">
      <alignment horizontal="right"/>
    </xf>
    <xf numFmtId="164" fontId="0" fillId="0" borderId="0" xfId="0" applyNumberFormat="1" applyAlignment="1">
      <alignment horizontal="right"/>
    </xf>
    <xf numFmtId="0" fontId="0" fillId="0" borderId="0" xfId="0" applyAlignment="1">
      <alignment horizontal="right" indent="1"/>
    </xf>
    <xf numFmtId="0" fontId="0" fillId="0" borderId="0" xfId="0" applyBorder="1"/>
    <xf numFmtId="1" fontId="0" fillId="0" borderId="0" xfId="0" applyNumberFormat="1"/>
    <xf numFmtId="1" fontId="0" fillId="0" borderId="0" xfId="0" applyNumberFormat="1" applyBorder="1"/>
    <xf numFmtId="1" fontId="0" fillId="0" borderId="0" xfId="0" applyNumberFormat="1" applyFill="1" applyBorder="1"/>
    <xf numFmtId="1" fontId="0" fillId="0" borderId="6" xfId="0" applyNumberFormat="1" applyBorder="1"/>
    <xf numFmtId="0" fontId="0" fillId="3" borderId="22" xfId="0" applyFill="1" applyBorder="1"/>
    <xf numFmtId="0" fontId="0" fillId="3" borderId="2" xfId="0" applyFill="1" applyBorder="1"/>
    <xf numFmtId="0" fontId="3" fillId="0" borderId="0" xfId="0" applyFont="1"/>
    <xf numFmtId="164" fontId="0" fillId="3" borderId="3" xfId="1" applyNumberFormat="1" applyFont="1" applyFill="1" applyBorder="1"/>
    <xf numFmtId="164" fontId="0" fillId="0" borderId="21" xfId="1" applyNumberFormat="1" applyFont="1" applyBorder="1"/>
    <xf numFmtId="43" fontId="0" fillId="0" borderId="1" xfId="1" applyNumberFormat="1" applyFont="1" applyBorder="1"/>
    <xf numFmtId="43" fontId="0" fillId="0" borderId="3" xfId="1" applyNumberFormat="1" applyFont="1" applyBorder="1"/>
    <xf numFmtId="1" fontId="0" fillId="3" borderId="21" xfId="0" applyNumberFormat="1" applyFill="1" applyBorder="1"/>
    <xf numFmtId="164" fontId="0" fillId="3" borderId="1" xfId="1" applyNumberFormat="1" applyFont="1" applyFill="1" applyBorder="1"/>
    <xf numFmtId="3" fontId="0" fillId="3" borderId="21" xfId="0" applyNumberFormat="1" applyFill="1" applyBorder="1"/>
    <xf numFmtId="164" fontId="0" fillId="0" borderId="0" xfId="1" applyNumberFormat="1" applyFont="1" applyFill="1" applyBorder="1"/>
    <xf numFmtId="0" fontId="0" fillId="0" borderId="0" xfId="0" applyFill="1" applyBorder="1" applyAlignment="1">
      <alignment horizontal="right"/>
    </xf>
    <xf numFmtId="0" fontId="0" fillId="4" borderId="1" xfId="0" applyFill="1" applyBorder="1"/>
    <xf numFmtId="0" fontId="0" fillId="0" borderId="0" xfId="0" applyFill="1" applyBorder="1"/>
    <xf numFmtId="0" fontId="0" fillId="0" borderId="0" xfId="0" applyBorder="1" applyAlignment="1">
      <alignment horizontal="center"/>
    </xf>
    <xf numFmtId="164" fontId="0" fillId="0" borderId="1" xfId="1" applyNumberFormat="1" applyFont="1" applyFill="1" applyBorder="1"/>
    <xf numFmtId="0" fontId="0" fillId="0" borderId="0" xfId="0" applyAlignment="1">
      <alignment horizontal="left" indent="1"/>
    </xf>
    <xf numFmtId="165" fontId="0" fillId="0" borderId="0" xfId="0" applyNumberFormat="1"/>
    <xf numFmtId="165" fontId="0" fillId="0" borderId="23" xfId="0" applyNumberFormat="1" applyBorder="1"/>
    <xf numFmtId="165" fontId="0" fillId="6" borderId="0" xfId="0" applyNumberFormat="1" applyFill="1"/>
    <xf numFmtId="0" fontId="0" fillId="0" borderId="0" xfId="0" applyAlignment="1">
      <alignment horizontal="left"/>
    </xf>
    <xf numFmtId="0" fontId="0" fillId="0" borderId="23" xfId="0" applyBorder="1"/>
    <xf numFmtId="0" fontId="0" fillId="5" borderId="0" xfId="0" applyFill="1"/>
    <xf numFmtId="0" fontId="0" fillId="4" borderId="0" xfId="0" applyFill="1"/>
    <xf numFmtId="0" fontId="0" fillId="0" borderId="1" xfId="0" applyBorder="1" applyAlignment="1">
      <alignment horizontal="left" indent="1"/>
    </xf>
    <xf numFmtId="0" fontId="0" fillId="0" borderId="0" xfId="0" applyAlignment="1">
      <alignment horizontal="center"/>
    </xf>
    <xf numFmtId="0" fontId="0" fillId="0" borderId="11" xfId="0" applyBorder="1" applyAlignment="1">
      <alignment horizontal="center"/>
    </xf>
    <xf numFmtId="0" fontId="0" fillId="0" borderId="8" xfId="0" applyBorder="1" applyAlignment="1">
      <alignment horizontal="center"/>
    </xf>
    <xf numFmtId="0" fontId="0" fillId="0" borderId="13" xfId="0" applyBorder="1" applyAlignment="1">
      <alignment horizontal="center"/>
    </xf>
    <xf numFmtId="0" fontId="0" fillId="0" borderId="30" xfId="0" applyBorder="1" applyAlignment="1">
      <alignment horizontal="center"/>
    </xf>
    <xf numFmtId="0" fontId="0" fillId="0" borderId="31" xfId="0" applyBorder="1"/>
    <xf numFmtId="0" fontId="0" fillId="0" borderId="31" xfId="0" applyFill="1" applyBorder="1" applyAlignment="1">
      <alignment horizontal="right"/>
    </xf>
    <xf numFmtId="0" fontId="0" fillId="0" borderId="3" xfId="0" applyBorder="1" applyAlignment="1">
      <alignment horizontal="left" indent="1"/>
    </xf>
    <xf numFmtId="164" fontId="0" fillId="0" borderId="2" xfId="1" applyNumberFormat="1" applyFont="1" applyFill="1" applyBorder="1"/>
    <xf numFmtId="164" fontId="0" fillId="0" borderId="3" xfId="1" applyNumberFormat="1" applyFont="1" applyFill="1" applyBorder="1"/>
    <xf numFmtId="0" fontId="0" fillId="0" borderId="2" xfId="0" applyBorder="1" applyAlignment="1">
      <alignment horizontal="left"/>
    </xf>
    <xf numFmtId="0" fontId="0" fillId="0" borderId="22" xfId="0" applyBorder="1"/>
    <xf numFmtId="164" fontId="0" fillId="0" borderId="22" xfId="1" applyNumberFormat="1" applyFont="1" applyBorder="1"/>
    <xf numFmtId="0" fontId="0" fillId="0" borderId="30" xfId="0" applyBorder="1" applyAlignment="1">
      <alignment horizontal="center" vertical="top"/>
    </xf>
    <xf numFmtId="0" fontId="5" fillId="0" borderId="0" xfId="0" applyFont="1"/>
    <xf numFmtId="0" fontId="5" fillId="5" borderId="0" xfId="0" applyFont="1" applyFill="1"/>
    <xf numFmtId="0" fontId="0" fillId="7" borderId="0" xfId="0" applyFill="1"/>
    <xf numFmtId="0" fontId="0" fillId="8" borderId="0" xfId="0" applyFill="1"/>
    <xf numFmtId="0" fontId="0" fillId="9" borderId="0" xfId="0" applyFill="1"/>
    <xf numFmtId="0" fontId="0" fillId="10" borderId="0" xfId="0" applyFill="1"/>
    <xf numFmtId="165" fontId="0" fillId="0" borderId="0" xfId="0" applyNumberFormat="1" applyBorder="1"/>
    <xf numFmtId="0" fontId="5" fillId="10" borderId="0" xfId="0" applyFont="1" applyFill="1"/>
    <xf numFmtId="0" fontId="4" fillId="12" borderId="0" xfId="0" applyFont="1" applyFill="1"/>
    <xf numFmtId="0" fontId="4" fillId="11" borderId="0" xfId="0" applyFont="1" applyFill="1"/>
    <xf numFmtId="164" fontId="1" fillId="0" borderId="0" xfId="1" applyNumberFormat="1" applyFont="1" applyBorder="1"/>
    <xf numFmtId="0" fontId="0" fillId="0" borderId="1" xfId="0" applyFill="1" applyBorder="1"/>
    <xf numFmtId="0" fontId="0" fillId="0" borderId="25" xfId="0" applyBorder="1" applyAlignment="1">
      <alignment horizontal="center"/>
    </xf>
    <xf numFmtId="0" fontId="0" fillId="0" borderId="26" xfId="0" applyBorder="1" applyAlignment="1">
      <alignment horizontal="center"/>
    </xf>
    <xf numFmtId="0" fontId="0" fillId="0" borderId="1" xfId="0" applyBorder="1" applyAlignment="1">
      <alignment horizontal="center"/>
    </xf>
    <xf numFmtId="1" fontId="0" fillId="0" borderId="1" xfId="0" applyNumberFormat="1" applyFill="1" applyBorder="1"/>
    <xf numFmtId="0" fontId="0" fillId="0" borderId="1" xfId="0" applyFill="1" applyBorder="1" applyAlignment="1">
      <alignment horizontal="right"/>
    </xf>
    <xf numFmtId="0" fontId="0" fillId="0" borderId="24" xfId="0" applyBorder="1" applyAlignment="1">
      <alignment horizontal="left"/>
    </xf>
    <xf numFmtId="164" fontId="0" fillId="0" borderId="1" xfId="0" applyNumberFormat="1" applyBorder="1"/>
    <xf numFmtId="0" fontId="0" fillId="0" borderId="32" xfId="0" applyBorder="1"/>
    <xf numFmtId="164" fontId="5" fillId="0" borderId="1" xfId="1" applyNumberFormat="1" applyFont="1" applyFill="1" applyBorder="1"/>
    <xf numFmtId="164" fontId="5" fillId="0" borderId="22" xfId="1" applyNumberFormat="1" applyFont="1" applyFill="1" applyBorder="1"/>
    <xf numFmtId="0" fontId="0" fillId="0" borderId="0" xfId="0" applyFill="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 xfId="0" applyBorder="1" applyAlignment="1">
      <alignment horizontal="center" wrapText="1"/>
    </xf>
    <xf numFmtId="0" fontId="0" fillId="0" borderId="12" xfId="0" applyBorder="1" applyAlignment="1">
      <alignment horizontal="center" wrapText="1"/>
    </xf>
    <xf numFmtId="0" fontId="0" fillId="0" borderId="11" xfId="0" applyBorder="1" applyAlignment="1">
      <alignment horizontal="center" vertical="top"/>
    </xf>
    <xf numFmtId="0" fontId="0" fillId="0" borderId="0" xfId="0" applyFill="1"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29" xfId="0" applyBorder="1" applyAlignment="1">
      <alignment horizontal="center" wrapText="1"/>
    </xf>
    <xf numFmtId="0" fontId="0" fillId="0" borderId="14" xfId="0" applyBorder="1" applyAlignment="1">
      <alignment horizontal="center"/>
    </xf>
    <xf numFmtId="0" fontId="0" fillId="0" borderId="15" xfId="0" applyBorder="1" applyAlignment="1">
      <alignment horizontal="center"/>
    </xf>
    <xf numFmtId="0" fontId="0" fillId="0" borderId="20"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0" fontId="0" fillId="0" borderId="0" xfId="0" applyBorder="1" applyAlignment="1">
      <alignment horizontal="center"/>
    </xf>
    <xf numFmtId="165" fontId="0" fillId="0" borderId="0" xfId="0" applyNumberFormat="1" applyFill="1"/>
    <xf numFmtId="0" fontId="0" fillId="0" borderId="0" xfId="0" applyFill="1"/>
    <xf numFmtId="165" fontId="0" fillId="0" borderId="23" xfId="0" applyNumberFormat="1" applyFill="1" applyBorder="1"/>
    <xf numFmtId="165" fontId="3" fillId="0" borderId="0" xfId="0" applyNumberFormat="1" applyFont="1"/>
    <xf numFmtId="165" fontId="3" fillId="0" borderId="23" xfId="0" applyNumberFormat="1" applyFont="1" applyBorder="1"/>
  </cellXfs>
  <cellStyles count="2">
    <cellStyle name="Comma" xfId="1" builtinId="3"/>
    <cellStyle name="Normal" xfId="0" builtinId="0"/>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14</xdr:col>
      <xdr:colOff>162560</xdr:colOff>
      <xdr:row>22</xdr:row>
      <xdr:rowOff>154940</xdr:rowOff>
    </xdr:to>
    <xdr:pic>
      <xdr:nvPicPr>
        <xdr:cNvPr id="2" name="Picture 1"/>
        <xdr:cNvPicPr>
          <a:picLocks noChangeAspect="1"/>
        </xdr:cNvPicPr>
      </xdr:nvPicPr>
      <xdr:blipFill>
        <a:blip xmlns:r="http://schemas.openxmlformats.org/officeDocument/2006/relationships" r:embed="rId1"/>
        <a:stretch>
          <a:fillRect/>
        </a:stretch>
      </xdr:blipFill>
      <xdr:spPr>
        <a:xfrm>
          <a:off x="1339850" y="0"/>
          <a:ext cx="7477760" cy="42062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xdr:colOff>
      <xdr:row>0</xdr:row>
      <xdr:rowOff>0</xdr:rowOff>
    </xdr:from>
    <xdr:to>
      <xdr:col>12</xdr:col>
      <xdr:colOff>546806</xdr:colOff>
      <xdr:row>20</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1974850" y="0"/>
          <a:ext cx="6547556" cy="3683000"/>
        </a:xfrm>
        <a:prstGeom prst="rect">
          <a:avLst/>
        </a:prstGeom>
      </xdr:spPr>
    </xdr:pic>
    <xdr:clientData/>
  </xdr:twoCellAnchor>
  <xdr:oneCellAnchor>
    <xdr:from>
      <xdr:col>10</xdr:col>
      <xdr:colOff>330200</xdr:colOff>
      <xdr:row>9</xdr:row>
      <xdr:rowOff>177800</xdr:rowOff>
    </xdr:from>
    <xdr:ext cx="443263" cy="264560"/>
    <xdr:sp macro="" textlink="">
      <xdr:nvSpPr>
        <xdr:cNvPr id="3" name="TextBox 2"/>
        <xdr:cNvSpPr txBox="1"/>
      </xdr:nvSpPr>
      <xdr:spPr>
        <a:xfrm>
          <a:off x="7086600" y="1835150"/>
          <a:ext cx="4432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Fore</a:t>
          </a:r>
        </a:p>
      </xdr:txBody>
    </xdr:sp>
    <xdr:clientData/>
  </xdr:oneCellAnchor>
  <xdr:oneCellAnchor>
    <xdr:from>
      <xdr:col>6</xdr:col>
      <xdr:colOff>342900</xdr:colOff>
      <xdr:row>9</xdr:row>
      <xdr:rowOff>165100</xdr:rowOff>
    </xdr:from>
    <xdr:ext cx="418320" cy="264560"/>
    <xdr:sp macro="" textlink="">
      <xdr:nvSpPr>
        <xdr:cNvPr id="4" name="TextBox 3"/>
        <xdr:cNvSpPr txBox="1"/>
      </xdr:nvSpPr>
      <xdr:spPr>
        <a:xfrm>
          <a:off x="4660900" y="1822450"/>
          <a:ext cx="41832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Mid</a:t>
          </a:r>
        </a:p>
      </xdr:txBody>
    </xdr:sp>
    <xdr:clientData/>
  </xdr:oneCellAnchor>
  <xdr:oneCellAnchor>
    <xdr:from>
      <xdr:col>3</xdr:col>
      <xdr:colOff>424042</xdr:colOff>
      <xdr:row>9</xdr:row>
      <xdr:rowOff>171449</xdr:rowOff>
    </xdr:from>
    <xdr:ext cx="363689" cy="264560"/>
    <xdr:sp macro="" textlink="">
      <xdr:nvSpPr>
        <xdr:cNvPr id="5" name="TextBox 4"/>
        <xdr:cNvSpPr txBox="1"/>
      </xdr:nvSpPr>
      <xdr:spPr>
        <a:xfrm>
          <a:off x="2913242" y="1828799"/>
          <a:ext cx="36368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Aft</a:t>
          </a:r>
        </a:p>
      </xdr:txBody>
    </xdr:sp>
    <xdr:clientData/>
  </xdr:oneCellAnchor>
  <xdr:twoCellAnchor editAs="oneCell">
    <xdr:from>
      <xdr:col>12</xdr:col>
      <xdr:colOff>592498</xdr:colOff>
      <xdr:row>0</xdr:row>
      <xdr:rowOff>0</xdr:rowOff>
    </xdr:from>
    <xdr:to>
      <xdr:col>23</xdr:col>
      <xdr:colOff>423164</xdr:colOff>
      <xdr:row>19</xdr:row>
      <xdr:rowOff>177800</xdr:rowOff>
    </xdr:to>
    <xdr:pic>
      <xdr:nvPicPr>
        <xdr:cNvPr id="9" name="Picture 8"/>
        <xdr:cNvPicPr>
          <a:picLocks noChangeAspect="1"/>
        </xdr:cNvPicPr>
      </xdr:nvPicPr>
      <xdr:blipFill>
        <a:blip xmlns:r="http://schemas.openxmlformats.org/officeDocument/2006/relationships" r:embed="rId2"/>
        <a:stretch>
          <a:fillRect/>
        </a:stretch>
      </xdr:blipFill>
      <xdr:spPr>
        <a:xfrm>
          <a:off x="8568098" y="0"/>
          <a:ext cx="6536266" cy="3676650"/>
        </a:xfrm>
        <a:prstGeom prst="rect">
          <a:avLst/>
        </a:prstGeom>
      </xdr:spPr>
    </xdr:pic>
    <xdr:clientData/>
  </xdr:twoCellAnchor>
  <xdr:oneCellAnchor>
    <xdr:from>
      <xdr:col>16</xdr:col>
      <xdr:colOff>95250</xdr:colOff>
      <xdr:row>11</xdr:row>
      <xdr:rowOff>50800</xdr:rowOff>
    </xdr:from>
    <xdr:ext cx="256160" cy="264560"/>
    <xdr:sp macro="" textlink="">
      <xdr:nvSpPr>
        <xdr:cNvPr id="10" name="TextBox 9"/>
        <xdr:cNvSpPr txBox="1"/>
      </xdr:nvSpPr>
      <xdr:spPr>
        <a:xfrm>
          <a:off x="10509250" y="2076450"/>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C000"/>
              </a:solidFill>
            </a:rPr>
            <a:t>3</a:t>
          </a:r>
        </a:p>
      </xdr:txBody>
    </xdr:sp>
    <xdr:clientData/>
  </xdr:oneCellAnchor>
  <xdr:oneCellAnchor>
    <xdr:from>
      <xdr:col>16</xdr:col>
      <xdr:colOff>469900</xdr:colOff>
      <xdr:row>10</xdr:row>
      <xdr:rowOff>127000</xdr:rowOff>
    </xdr:from>
    <xdr:ext cx="256160" cy="264560"/>
    <xdr:sp macro="" textlink="">
      <xdr:nvSpPr>
        <xdr:cNvPr id="11" name="TextBox 10"/>
        <xdr:cNvSpPr txBox="1"/>
      </xdr:nvSpPr>
      <xdr:spPr>
        <a:xfrm>
          <a:off x="10883900" y="1968500"/>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C000"/>
              </a:solidFill>
            </a:rPr>
            <a:t>2</a:t>
          </a:r>
        </a:p>
      </xdr:txBody>
    </xdr:sp>
    <xdr:clientData/>
  </xdr:oneCellAnchor>
  <xdr:oneCellAnchor>
    <xdr:from>
      <xdr:col>17</xdr:col>
      <xdr:colOff>471848</xdr:colOff>
      <xdr:row>10</xdr:row>
      <xdr:rowOff>120650</xdr:rowOff>
    </xdr:from>
    <xdr:ext cx="256160" cy="264560"/>
    <xdr:sp macro="" textlink="">
      <xdr:nvSpPr>
        <xdr:cNvPr id="12" name="TextBox 11"/>
        <xdr:cNvSpPr txBox="1"/>
      </xdr:nvSpPr>
      <xdr:spPr>
        <a:xfrm>
          <a:off x="11495448" y="1962150"/>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C000"/>
              </a:solidFill>
            </a:rPr>
            <a:t>1</a:t>
          </a:r>
        </a:p>
      </xdr:txBody>
    </xdr:sp>
    <xdr:clientData/>
  </xdr:oneCellAnchor>
  <xdr:oneCellAnchor>
    <xdr:from>
      <xdr:col>20</xdr:col>
      <xdr:colOff>304800</xdr:colOff>
      <xdr:row>5</xdr:row>
      <xdr:rowOff>38100</xdr:rowOff>
    </xdr:from>
    <xdr:ext cx="418320" cy="264560"/>
    <xdr:sp macro="" textlink="">
      <xdr:nvSpPr>
        <xdr:cNvPr id="13" name="TextBox 12"/>
        <xdr:cNvSpPr txBox="1"/>
      </xdr:nvSpPr>
      <xdr:spPr>
        <a:xfrm>
          <a:off x="13157200" y="958850"/>
          <a:ext cx="41832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Mid</a:t>
          </a:r>
        </a:p>
      </xdr:txBody>
    </xdr:sp>
    <xdr:clientData/>
  </xdr:oneCellAnchor>
  <xdr:oneCellAnchor>
    <xdr:from>
      <xdr:col>18</xdr:col>
      <xdr:colOff>152400</xdr:colOff>
      <xdr:row>8</xdr:row>
      <xdr:rowOff>6350</xdr:rowOff>
    </xdr:from>
    <xdr:ext cx="496674" cy="264560"/>
    <xdr:sp macro="" textlink="">
      <xdr:nvSpPr>
        <xdr:cNvPr id="14" name="TextBox 13"/>
        <xdr:cNvSpPr txBox="1"/>
      </xdr:nvSpPr>
      <xdr:spPr>
        <a:xfrm>
          <a:off x="11785600" y="1479550"/>
          <a:ext cx="49667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Stack</a:t>
          </a:r>
        </a:p>
      </xdr:txBody>
    </xdr:sp>
    <xdr:clientData/>
  </xdr:oneCellAnchor>
  <xdr:oneCellAnchor>
    <xdr:from>
      <xdr:col>17</xdr:col>
      <xdr:colOff>389298</xdr:colOff>
      <xdr:row>7</xdr:row>
      <xdr:rowOff>177800</xdr:rowOff>
    </xdr:from>
    <xdr:ext cx="367216" cy="264560"/>
    <xdr:sp macro="" textlink="">
      <xdr:nvSpPr>
        <xdr:cNvPr id="15" name="TextBox 14"/>
        <xdr:cNvSpPr txBox="1"/>
      </xdr:nvSpPr>
      <xdr:spPr>
        <a:xfrm>
          <a:off x="11412898" y="1466850"/>
          <a:ext cx="36721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Ext</a:t>
          </a:r>
        </a:p>
      </xdr:txBody>
    </xdr:sp>
    <xdr:clientData/>
  </xdr:oneCellAnchor>
  <xdr:oneCellAnchor>
    <xdr:from>
      <xdr:col>17</xdr:col>
      <xdr:colOff>598848</xdr:colOff>
      <xdr:row>9</xdr:row>
      <xdr:rowOff>44450</xdr:rowOff>
    </xdr:from>
    <xdr:ext cx="363689" cy="264560"/>
    <xdr:sp macro="" textlink="">
      <xdr:nvSpPr>
        <xdr:cNvPr id="16" name="TextBox 15"/>
        <xdr:cNvSpPr txBox="1"/>
      </xdr:nvSpPr>
      <xdr:spPr>
        <a:xfrm>
          <a:off x="11622448" y="1701800"/>
          <a:ext cx="36368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Aft</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8</xdr:col>
      <xdr:colOff>48846</xdr:colOff>
      <xdr:row>0</xdr:row>
      <xdr:rowOff>0</xdr:rowOff>
    </xdr:from>
    <xdr:to>
      <xdr:col>20</xdr:col>
      <xdr:colOff>362243</xdr:colOff>
      <xdr:row>23</xdr:row>
      <xdr:rowOff>28526</xdr:rowOff>
    </xdr:to>
    <xdr:pic>
      <xdr:nvPicPr>
        <xdr:cNvPr id="24" name="Picture 23"/>
        <xdr:cNvPicPr>
          <a:picLocks noChangeAspect="1"/>
        </xdr:cNvPicPr>
      </xdr:nvPicPr>
      <xdr:blipFill>
        <a:blip xmlns:r="http://schemas.openxmlformats.org/officeDocument/2006/relationships" r:embed="rId1"/>
        <a:stretch>
          <a:fillRect/>
        </a:stretch>
      </xdr:blipFill>
      <xdr:spPr>
        <a:xfrm>
          <a:off x="4615961" y="0"/>
          <a:ext cx="7640320" cy="4297680"/>
        </a:xfrm>
        <a:prstGeom prst="rect">
          <a:avLst/>
        </a:prstGeom>
      </xdr:spPr>
    </xdr:pic>
    <xdr:clientData/>
  </xdr:twoCellAnchor>
  <xdr:oneCellAnchor>
    <xdr:from>
      <xdr:col>11</xdr:col>
      <xdr:colOff>127000</xdr:colOff>
      <xdr:row>5</xdr:row>
      <xdr:rowOff>131884</xdr:rowOff>
    </xdr:from>
    <xdr:ext cx="256160" cy="264560"/>
    <xdr:sp macro="" textlink="">
      <xdr:nvSpPr>
        <xdr:cNvPr id="3" name="TextBox 2"/>
        <xdr:cNvSpPr txBox="1"/>
      </xdr:nvSpPr>
      <xdr:spPr>
        <a:xfrm>
          <a:off x="6525846" y="1059961"/>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1</a:t>
          </a:r>
        </a:p>
      </xdr:txBody>
    </xdr:sp>
    <xdr:clientData/>
  </xdr:oneCellAnchor>
  <xdr:oneCellAnchor>
    <xdr:from>
      <xdr:col>11</xdr:col>
      <xdr:colOff>351205</xdr:colOff>
      <xdr:row>7</xdr:row>
      <xdr:rowOff>14654</xdr:rowOff>
    </xdr:from>
    <xdr:ext cx="256160" cy="264560"/>
    <xdr:sp macro="" textlink="">
      <xdr:nvSpPr>
        <xdr:cNvPr id="4" name="TextBox 3"/>
        <xdr:cNvSpPr txBox="1"/>
      </xdr:nvSpPr>
      <xdr:spPr>
        <a:xfrm>
          <a:off x="6750051" y="1313962"/>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2</a:t>
          </a:r>
        </a:p>
      </xdr:txBody>
    </xdr:sp>
    <xdr:clientData/>
  </xdr:oneCellAnchor>
  <xdr:oneCellAnchor>
    <xdr:from>
      <xdr:col>10</xdr:col>
      <xdr:colOff>115766</xdr:colOff>
      <xdr:row>9</xdr:row>
      <xdr:rowOff>175846</xdr:rowOff>
    </xdr:from>
    <xdr:ext cx="256160" cy="264560"/>
    <xdr:sp macro="" textlink="">
      <xdr:nvSpPr>
        <xdr:cNvPr id="5" name="TextBox 4"/>
        <xdr:cNvSpPr txBox="1"/>
      </xdr:nvSpPr>
      <xdr:spPr>
        <a:xfrm>
          <a:off x="5904035" y="1846384"/>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3</a:t>
          </a:r>
        </a:p>
      </xdr:txBody>
    </xdr:sp>
    <xdr:clientData/>
  </xdr:oneCellAnchor>
  <xdr:oneCellAnchor>
    <xdr:from>
      <xdr:col>13</xdr:col>
      <xdr:colOff>252535</xdr:colOff>
      <xdr:row>7</xdr:row>
      <xdr:rowOff>48845</xdr:rowOff>
    </xdr:from>
    <xdr:ext cx="256160" cy="264560"/>
    <xdr:sp macro="" textlink="">
      <xdr:nvSpPr>
        <xdr:cNvPr id="6" name="TextBox 5"/>
        <xdr:cNvSpPr txBox="1"/>
      </xdr:nvSpPr>
      <xdr:spPr>
        <a:xfrm>
          <a:off x="7872535" y="1348153"/>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4</a:t>
          </a:r>
        </a:p>
      </xdr:txBody>
    </xdr:sp>
    <xdr:clientData/>
  </xdr:oneCellAnchor>
  <xdr:oneCellAnchor>
    <xdr:from>
      <xdr:col>11</xdr:col>
      <xdr:colOff>34193</xdr:colOff>
      <xdr:row>7</xdr:row>
      <xdr:rowOff>175846</xdr:rowOff>
    </xdr:from>
    <xdr:ext cx="256160" cy="264560"/>
    <xdr:sp macro="" textlink="">
      <xdr:nvSpPr>
        <xdr:cNvPr id="7" name="TextBox 6"/>
        <xdr:cNvSpPr txBox="1"/>
      </xdr:nvSpPr>
      <xdr:spPr>
        <a:xfrm>
          <a:off x="6433039" y="1475154"/>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C000"/>
              </a:solidFill>
            </a:rPr>
            <a:t>1</a:t>
          </a:r>
        </a:p>
      </xdr:txBody>
    </xdr:sp>
    <xdr:clientData/>
  </xdr:oneCellAnchor>
  <xdr:oneCellAnchor>
    <xdr:from>
      <xdr:col>10</xdr:col>
      <xdr:colOff>406400</xdr:colOff>
      <xdr:row>9</xdr:row>
      <xdr:rowOff>152401</xdr:rowOff>
    </xdr:from>
    <xdr:ext cx="256160" cy="264560"/>
    <xdr:sp macro="" textlink="">
      <xdr:nvSpPr>
        <xdr:cNvPr id="8" name="TextBox 7"/>
        <xdr:cNvSpPr txBox="1"/>
      </xdr:nvSpPr>
      <xdr:spPr>
        <a:xfrm>
          <a:off x="6194669" y="1822939"/>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C000"/>
              </a:solidFill>
            </a:rPr>
            <a:t>2</a:t>
          </a:r>
        </a:p>
      </xdr:txBody>
    </xdr:sp>
    <xdr:clientData/>
  </xdr:oneCellAnchor>
  <xdr:oneCellAnchor>
    <xdr:from>
      <xdr:col>12</xdr:col>
      <xdr:colOff>137748</xdr:colOff>
      <xdr:row>7</xdr:row>
      <xdr:rowOff>181709</xdr:rowOff>
    </xdr:from>
    <xdr:ext cx="256160" cy="264560"/>
    <xdr:sp macro="" textlink="">
      <xdr:nvSpPr>
        <xdr:cNvPr id="9" name="TextBox 8"/>
        <xdr:cNvSpPr txBox="1"/>
      </xdr:nvSpPr>
      <xdr:spPr>
        <a:xfrm>
          <a:off x="7147171" y="1481017"/>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92D050"/>
              </a:solidFill>
            </a:rPr>
            <a:t>1</a:t>
          </a:r>
        </a:p>
      </xdr:txBody>
    </xdr:sp>
    <xdr:clientData/>
  </xdr:oneCellAnchor>
  <xdr:oneCellAnchor>
    <xdr:from>
      <xdr:col>11</xdr:col>
      <xdr:colOff>338994</xdr:colOff>
      <xdr:row>9</xdr:row>
      <xdr:rowOff>158264</xdr:rowOff>
    </xdr:from>
    <xdr:ext cx="256160" cy="264560"/>
    <xdr:sp macro="" textlink="">
      <xdr:nvSpPr>
        <xdr:cNvPr id="10" name="TextBox 9"/>
        <xdr:cNvSpPr txBox="1"/>
      </xdr:nvSpPr>
      <xdr:spPr>
        <a:xfrm>
          <a:off x="6737840" y="1828802"/>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92D050"/>
              </a:solidFill>
            </a:rPr>
            <a:t>2</a:t>
          </a:r>
        </a:p>
      </xdr:txBody>
    </xdr:sp>
    <xdr:clientData/>
  </xdr:oneCellAnchor>
  <xdr:oneCellAnchor>
    <xdr:from>
      <xdr:col>13</xdr:col>
      <xdr:colOff>7817</xdr:colOff>
      <xdr:row>9</xdr:row>
      <xdr:rowOff>149472</xdr:rowOff>
    </xdr:from>
    <xdr:ext cx="256160" cy="264560"/>
    <xdr:sp macro="" textlink="">
      <xdr:nvSpPr>
        <xdr:cNvPr id="11" name="TextBox 10"/>
        <xdr:cNvSpPr txBox="1"/>
      </xdr:nvSpPr>
      <xdr:spPr>
        <a:xfrm>
          <a:off x="7627817" y="1820010"/>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92D050"/>
              </a:solidFill>
            </a:rPr>
            <a:t>3</a:t>
          </a:r>
        </a:p>
      </xdr:txBody>
    </xdr:sp>
    <xdr:clientData/>
  </xdr:oneCellAnchor>
  <xdr:oneCellAnchor>
    <xdr:from>
      <xdr:col>15</xdr:col>
      <xdr:colOff>524608</xdr:colOff>
      <xdr:row>6</xdr:row>
      <xdr:rowOff>1955</xdr:rowOff>
    </xdr:from>
    <xdr:ext cx="256160" cy="264560"/>
    <xdr:sp macro="" textlink="">
      <xdr:nvSpPr>
        <xdr:cNvPr id="12" name="TextBox 11"/>
        <xdr:cNvSpPr txBox="1"/>
      </xdr:nvSpPr>
      <xdr:spPr>
        <a:xfrm>
          <a:off x="9365762" y="1115647"/>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00B0F0"/>
              </a:solidFill>
            </a:rPr>
            <a:t>1</a:t>
          </a:r>
        </a:p>
      </xdr:txBody>
    </xdr:sp>
    <xdr:clientData/>
  </xdr:oneCellAnchor>
  <xdr:oneCellAnchor>
    <xdr:from>
      <xdr:col>14</xdr:col>
      <xdr:colOff>501162</xdr:colOff>
      <xdr:row>9</xdr:row>
      <xdr:rowOff>164125</xdr:rowOff>
    </xdr:from>
    <xdr:ext cx="256160" cy="264560"/>
    <xdr:sp macro="" textlink="">
      <xdr:nvSpPr>
        <xdr:cNvPr id="13" name="TextBox 12"/>
        <xdr:cNvSpPr txBox="1"/>
      </xdr:nvSpPr>
      <xdr:spPr>
        <a:xfrm>
          <a:off x="8731739" y="1834663"/>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00B0F0"/>
              </a:solidFill>
            </a:rPr>
            <a:t>2</a:t>
          </a:r>
        </a:p>
      </xdr:txBody>
    </xdr:sp>
    <xdr:clientData/>
  </xdr:oneCellAnchor>
  <xdr:oneCellAnchor>
    <xdr:from>
      <xdr:col>18</xdr:col>
      <xdr:colOff>188548</xdr:colOff>
      <xdr:row>9</xdr:row>
      <xdr:rowOff>154355</xdr:rowOff>
    </xdr:from>
    <xdr:ext cx="256160" cy="264560"/>
    <xdr:sp macro="" textlink="">
      <xdr:nvSpPr>
        <xdr:cNvPr id="14" name="TextBox 13"/>
        <xdr:cNvSpPr txBox="1"/>
      </xdr:nvSpPr>
      <xdr:spPr>
        <a:xfrm>
          <a:off x="10861433" y="1824893"/>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00B050"/>
              </a:solidFill>
            </a:rPr>
            <a:t>1</a:t>
          </a:r>
        </a:p>
      </xdr:txBody>
    </xdr:sp>
    <xdr:clientData/>
  </xdr:oneCellAnchor>
  <xdr:oneCellAnchor>
    <xdr:from>
      <xdr:col>18</xdr:col>
      <xdr:colOff>47872</xdr:colOff>
      <xdr:row>7</xdr:row>
      <xdr:rowOff>8793</xdr:rowOff>
    </xdr:from>
    <xdr:ext cx="256160" cy="264560"/>
    <xdr:sp macro="" textlink="">
      <xdr:nvSpPr>
        <xdr:cNvPr id="15" name="TextBox 14"/>
        <xdr:cNvSpPr txBox="1"/>
      </xdr:nvSpPr>
      <xdr:spPr>
        <a:xfrm>
          <a:off x="10720757" y="1308101"/>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00B050"/>
              </a:solidFill>
            </a:rPr>
            <a:t>2</a:t>
          </a:r>
        </a:p>
      </xdr:txBody>
    </xdr:sp>
    <xdr:clientData/>
  </xdr:oneCellAnchor>
  <xdr:oneCellAnchor>
    <xdr:from>
      <xdr:col>17</xdr:col>
      <xdr:colOff>78155</xdr:colOff>
      <xdr:row>6</xdr:row>
      <xdr:rowOff>4885</xdr:rowOff>
    </xdr:from>
    <xdr:ext cx="256160" cy="264560"/>
    <xdr:sp macro="" textlink="">
      <xdr:nvSpPr>
        <xdr:cNvPr id="16" name="TextBox 15"/>
        <xdr:cNvSpPr txBox="1"/>
      </xdr:nvSpPr>
      <xdr:spPr>
        <a:xfrm>
          <a:off x="10140463" y="1118577"/>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00B050"/>
              </a:solidFill>
            </a:rPr>
            <a:t>3</a:t>
          </a:r>
        </a:p>
      </xdr:txBody>
    </xdr:sp>
    <xdr:clientData/>
  </xdr:oneCellAnchor>
  <xdr:oneCellAnchor>
    <xdr:from>
      <xdr:col>16</xdr:col>
      <xdr:colOff>167055</xdr:colOff>
      <xdr:row>12</xdr:row>
      <xdr:rowOff>64476</xdr:rowOff>
    </xdr:from>
    <xdr:ext cx="256160" cy="264560"/>
    <xdr:sp macro="" textlink="">
      <xdr:nvSpPr>
        <xdr:cNvPr id="17" name="TextBox 16"/>
        <xdr:cNvSpPr txBox="1"/>
      </xdr:nvSpPr>
      <xdr:spPr>
        <a:xfrm>
          <a:off x="9618786" y="2291861"/>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00B050"/>
              </a:solidFill>
            </a:rPr>
            <a:t>4</a:t>
          </a:r>
        </a:p>
      </xdr:txBody>
    </xdr:sp>
    <xdr:clientData/>
  </xdr:oneCellAnchor>
  <xdr:oneCellAnchor>
    <xdr:from>
      <xdr:col>16</xdr:col>
      <xdr:colOff>36147</xdr:colOff>
      <xdr:row>9</xdr:row>
      <xdr:rowOff>168031</xdr:rowOff>
    </xdr:from>
    <xdr:ext cx="256160" cy="264560"/>
    <xdr:sp macro="" textlink="">
      <xdr:nvSpPr>
        <xdr:cNvPr id="18" name="TextBox 17"/>
        <xdr:cNvSpPr txBox="1"/>
      </xdr:nvSpPr>
      <xdr:spPr>
        <a:xfrm>
          <a:off x="9487878" y="1838569"/>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00B050"/>
              </a:solidFill>
            </a:rPr>
            <a:t>5</a:t>
          </a:r>
        </a:p>
      </xdr:txBody>
    </xdr:sp>
    <xdr:clientData/>
  </xdr:oneCellAnchor>
  <xdr:oneCellAnchor>
    <xdr:from>
      <xdr:col>17</xdr:col>
      <xdr:colOff>183663</xdr:colOff>
      <xdr:row>8</xdr:row>
      <xdr:rowOff>61546</xdr:rowOff>
    </xdr:from>
    <xdr:ext cx="256160" cy="264560"/>
    <xdr:sp macro="" textlink="">
      <xdr:nvSpPr>
        <xdr:cNvPr id="19" name="TextBox 18"/>
        <xdr:cNvSpPr txBox="1"/>
      </xdr:nvSpPr>
      <xdr:spPr>
        <a:xfrm>
          <a:off x="10245971" y="1546469"/>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0070C0"/>
              </a:solidFill>
            </a:rPr>
            <a:t>1</a:t>
          </a:r>
        </a:p>
      </xdr:txBody>
    </xdr:sp>
    <xdr:clientData/>
  </xdr:oneCellAnchor>
  <xdr:oneCellAnchor>
    <xdr:from>
      <xdr:col>16</xdr:col>
      <xdr:colOff>575410</xdr:colOff>
      <xdr:row>7</xdr:row>
      <xdr:rowOff>121138</xdr:rowOff>
    </xdr:from>
    <xdr:ext cx="256160" cy="264560"/>
    <xdr:sp macro="" textlink="">
      <xdr:nvSpPr>
        <xdr:cNvPr id="20" name="TextBox 19"/>
        <xdr:cNvSpPr txBox="1"/>
      </xdr:nvSpPr>
      <xdr:spPr>
        <a:xfrm>
          <a:off x="10027141" y="1420446"/>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0070C0"/>
              </a:solidFill>
            </a:rPr>
            <a:t>2</a:t>
          </a:r>
        </a:p>
      </xdr:txBody>
    </xdr:sp>
    <xdr:clientData/>
  </xdr:oneCellAnchor>
  <xdr:oneCellAnchor>
    <xdr:from>
      <xdr:col>16</xdr:col>
      <xdr:colOff>390771</xdr:colOff>
      <xdr:row>8</xdr:row>
      <xdr:rowOff>29308</xdr:rowOff>
    </xdr:from>
    <xdr:ext cx="256160" cy="264560"/>
    <xdr:sp macro="" textlink="">
      <xdr:nvSpPr>
        <xdr:cNvPr id="21" name="TextBox 20"/>
        <xdr:cNvSpPr txBox="1"/>
      </xdr:nvSpPr>
      <xdr:spPr>
        <a:xfrm>
          <a:off x="9842502" y="1514231"/>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0070C0"/>
              </a:solidFill>
            </a:rPr>
            <a:t>3</a:t>
          </a:r>
        </a:p>
      </xdr:txBody>
    </xdr:sp>
    <xdr:clientData/>
  </xdr:oneCellAnchor>
  <xdr:oneCellAnchor>
    <xdr:from>
      <xdr:col>16</xdr:col>
      <xdr:colOff>191478</xdr:colOff>
      <xdr:row>9</xdr:row>
      <xdr:rowOff>167054</xdr:rowOff>
    </xdr:from>
    <xdr:ext cx="256160" cy="264560"/>
    <xdr:sp macro="" textlink="">
      <xdr:nvSpPr>
        <xdr:cNvPr id="22" name="TextBox 21"/>
        <xdr:cNvSpPr txBox="1"/>
      </xdr:nvSpPr>
      <xdr:spPr>
        <a:xfrm>
          <a:off x="9643209" y="1837592"/>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0070C0"/>
              </a:solidFill>
            </a:rPr>
            <a:t>4</a:t>
          </a:r>
        </a:p>
      </xdr:txBody>
    </xdr:sp>
    <xdr:clientData/>
  </xdr:oneCellAnchor>
  <xdr:oneCellAnchor>
    <xdr:from>
      <xdr:col>16</xdr:col>
      <xdr:colOff>568571</xdr:colOff>
      <xdr:row>9</xdr:row>
      <xdr:rowOff>138724</xdr:rowOff>
    </xdr:from>
    <xdr:ext cx="256160" cy="264560"/>
    <xdr:sp macro="" textlink="">
      <xdr:nvSpPr>
        <xdr:cNvPr id="25" name="TextBox 24"/>
        <xdr:cNvSpPr txBox="1"/>
      </xdr:nvSpPr>
      <xdr:spPr>
        <a:xfrm>
          <a:off x="10020302" y="1809262"/>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7030A0"/>
              </a:solidFill>
            </a:rPr>
            <a:t>1</a:t>
          </a:r>
        </a:p>
      </xdr:txBody>
    </xdr:sp>
    <xdr:clientData/>
  </xdr:oneCellAnchor>
  <xdr:oneCellAnchor>
    <xdr:from>
      <xdr:col>16</xdr:col>
      <xdr:colOff>466970</xdr:colOff>
      <xdr:row>10</xdr:row>
      <xdr:rowOff>100624</xdr:rowOff>
    </xdr:from>
    <xdr:ext cx="256160" cy="264560"/>
    <xdr:sp macro="" textlink="">
      <xdr:nvSpPr>
        <xdr:cNvPr id="26" name="TextBox 25"/>
        <xdr:cNvSpPr txBox="1"/>
      </xdr:nvSpPr>
      <xdr:spPr>
        <a:xfrm>
          <a:off x="9918701" y="1956778"/>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7030A0"/>
              </a:solidFill>
            </a:rPr>
            <a:t>2</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17</xdr:col>
      <xdr:colOff>0</xdr:colOff>
      <xdr:row>23</xdr:row>
      <xdr:rowOff>63500</xdr:rowOff>
    </xdr:to>
    <xdr:pic>
      <xdr:nvPicPr>
        <xdr:cNvPr id="7" name="Picture 6"/>
        <xdr:cNvPicPr>
          <a:picLocks noChangeAspect="1"/>
        </xdr:cNvPicPr>
      </xdr:nvPicPr>
      <xdr:blipFill>
        <a:blip xmlns:r="http://schemas.openxmlformats.org/officeDocument/2006/relationships" r:embed="rId1"/>
        <a:stretch>
          <a:fillRect/>
        </a:stretch>
      </xdr:blipFill>
      <xdr:spPr>
        <a:xfrm>
          <a:off x="3289300" y="184150"/>
          <a:ext cx="7315200" cy="4114800"/>
        </a:xfrm>
        <a:prstGeom prst="rect">
          <a:avLst/>
        </a:prstGeom>
      </xdr:spPr>
    </xdr:pic>
    <xdr:clientData/>
  </xdr:twoCellAnchor>
  <xdr:oneCellAnchor>
    <xdr:from>
      <xdr:col>6</xdr:col>
      <xdr:colOff>444500</xdr:colOff>
      <xdr:row>9</xdr:row>
      <xdr:rowOff>63500</xdr:rowOff>
    </xdr:from>
    <xdr:ext cx="1179362" cy="436786"/>
    <xdr:sp macro="" textlink="">
      <xdr:nvSpPr>
        <xdr:cNvPr id="3" name="TextBox 2"/>
        <xdr:cNvSpPr txBox="1"/>
      </xdr:nvSpPr>
      <xdr:spPr>
        <a:xfrm>
          <a:off x="4343400" y="1720850"/>
          <a:ext cx="1179362"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a:solidFill>
                <a:srgbClr val="92D050"/>
              </a:solidFill>
            </a:rPr>
            <a:t>Weather Deck</a:t>
          </a:r>
        </a:p>
        <a:p>
          <a:pPr algn="ctr"/>
          <a:r>
            <a:rPr lang="en-US" sz="1100" b="1">
              <a:solidFill>
                <a:srgbClr val="92D050"/>
              </a:solidFill>
            </a:rPr>
            <a:t>(Underside</a:t>
          </a:r>
          <a:r>
            <a:rPr lang="en-US" sz="1100" b="1" baseline="0">
              <a:solidFill>
                <a:srgbClr val="92D050"/>
              </a:solidFill>
            </a:rPr>
            <a:t> Only)</a:t>
          </a:r>
          <a:endParaRPr lang="en-US" sz="1100" b="1">
            <a:solidFill>
              <a:srgbClr val="92D050"/>
            </a:solidFill>
          </a:endParaRPr>
        </a:p>
      </xdr:txBody>
    </xdr:sp>
    <xdr:clientData/>
  </xdr:oneCellAnchor>
  <xdr:oneCellAnchor>
    <xdr:from>
      <xdr:col>7</xdr:col>
      <xdr:colOff>412750</xdr:colOff>
      <xdr:row>11</xdr:row>
      <xdr:rowOff>158750</xdr:rowOff>
    </xdr:from>
    <xdr:ext cx="726224" cy="264560"/>
    <xdr:sp macro="" textlink="">
      <xdr:nvSpPr>
        <xdr:cNvPr id="4" name="TextBox 3"/>
        <xdr:cNvSpPr txBox="1"/>
      </xdr:nvSpPr>
      <xdr:spPr>
        <a:xfrm>
          <a:off x="4921250" y="2184400"/>
          <a:ext cx="7262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2nd Deck</a:t>
          </a:r>
        </a:p>
      </xdr:txBody>
    </xdr:sp>
    <xdr:clientData/>
  </xdr:oneCellAnchor>
  <xdr:oneCellAnchor>
    <xdr:from>
      <xdr:col>7</xdr:col>
      <xdr:colOff>381000</xdr:colOff>
      <xdr:row>14</xdr:row>
      <xdr:rowOff>88900</xdr:rowOff>
    </xdr:from>
    <xdr:ext cx="700641" cy="264560"/>
    <xdr:sp macro="" textlink="">
      <xdr:nvSpPr>
        <xdr:cNvPr id="5" name="TextBox 4"/>
        <xdr:cNvSpPr txBox="1"/>
      </xdr:nvSpPr>
      <xdr:spPr>
        <a:xfrm>
          <a:off x="4889500" y="2667000"/>
          <a:ext cx="70064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3rd</a:t>
          </a:r>
          <a:r>
            <a:rPr lang="en-US" sz="1100" b="1">
              <a:solidFill>
                <a:srgbClr val="FFFF00"/>
              </a:solidFill>
            </a:rPr>
            <a:t> </a:t>
          </a:r>
          <a:r>
            <a:rPr lang="en-US" sz="1100" b="1">
              <a:solidFill>
                <a:srgbClr val="FF0000"/>
              </a:solidFill>
            </a:rPr>
            <a:t>Deck</a:t>
          </a:r>
        </a:p>
      </xdr:txBody>
    </xdr:sp>
    <xdr:clientData/>
  </xdr:oneCellAnchor>
  <xdr:oneCellAnchor>
    <xdr:from>
      <xdr:col>13</xdr:col>
      <xdr:colOff>457200</xdr:colOff>
      <xdr:row>10</xdr:row>
      <xdr:rowOff>0</xdr:rowOff>
    </xdr:from>
    <xdr:ext cx="551882" cy="264560"/>
    <xdr:sp macro="" textlink="">
      <xdr:nvSpPr>
        <xdr:cNvPr id="6" name="TextBox 5"/>
        <xdr:cNvSpPr txBox="1"/>
      </xdr:nvSpPr>
      <xdr:spPr>
        <a:xfrm>
          <a:off x="8623300" y="1841500"/>
          <a:ext cx="55188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1st Plt</a:t>
          </a:r>
        </a:p>
      </xdr:txBody>
    </xdr:sp>
    <xdr:clientData/>
  </xdr:oneCellAnchor>
  <xdr:oneCellAnchor>
    <xdr:from>
      <xdr:col>15</xdr:col>
      <xdr:colOff>425450</xdr:colOff>
      <xdr:row>7</xdr:row>
      <xdr:rowOff>165100</xdr:rowOff>
    </xdr:from>
    <xdr:ext cx="430246" cy="264560"/>
    <xdr:sp macro="" textlink="">
      <xdr:nvSpPr>
        <xdr:cNvPr id="9" name="TextBox 8"/>
        <xdr:cNvSpPr txBox="1"/>
      </xdr:nvSpPr>
      <xdr:spPr>
        <a:xfrm>
          <a:off x="9810750" y="1454150"/>
          <a:ext cx="43024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Fwd</a:t>
          </a:r>
        </a:p>
      </xdr:txBody>
    </xdr:sp>
    <xdr:clientData/>
  </xdr:oneCellAnchor>
  <xdr:oneCellAnchor>
    <xdr:from>
      <xdr:col>13</xdr:col>
      <xdr:colOff>565150</xdr:colOff>
      <xdr:row>7</xdr:row>
      <xdr:rowOff>165100</xdr:rowOff>
    </xdr:from>
    <xdr:ext cx="418320" cy="264560"/>
    <xdr:sp macro="" textlink="">
      <xdr:nvSpPr>
        <xdr:cNvPr id="10" name="TextBox 9"/>
        <xdr:cNvSpPr txBox="1"/>
      </xdr:nvSpPr>
      <xdr:spPr>
        <a:xfrm>
          <a:off x="8731250" y="1454150"/>
          <a:ext cx="41832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Mid</a:t>
          </a:r>
        </a:p>
      </xdr:txBody>
    </xdr:sp>
    <xdr:clientData/>
  </xdr:oneCellAnchor>
  <xdr:oneCellAnchor>
    <xdr:from>
      <xdr:col>12</xdr:col>
      <xdr:colOff>88900</xdr:colOff>
      <xdr:row>8</xdr:row>
      <xdr:rowOff>12700</xdr:rowOff>
    </xdr:from>
    <xdr:ext cx="363689" cy="264560"/>
    <xdr:sp macro="" textlink="">
      <xdr:nvSpPr>
        <xdr:cNvPr id="12" name="TextBox 11"/>
        <xdr:cNvSpPr txBox="1"/>
      </xdr:nvSpPr>
      <xdr:spPr>
        <a:xfrm>
          <a:off x="7645400" y="1485900"/>
          <a:ext cx="36368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Aft</a:t>
          </a:r>
        </a:p>
      </xdr:txBody>
    </xdr:sp>
    <xdr:clientData/>
  </xdr:oneCellAnchor>
  <xdr:oneCellAnchor>
    <xdr:from>
      <xdr:col>13</xdr:col>
      <xdr:colOff>469900</xdr:colOff>
      <xdr:row>12</xdr:row>
      <xdr:rowOff>88900</xdr:rowOff>
    </xdr:from>
    <xdr:ext cx="598112" cy="264560"/>
    <xdr:sp macro="" textlink="">
      <xdr:nvSpPr>
        <xdr:cNvPr id="13" name="TextBox 12"/>
        <xdr:cNvSpPr txBox="1"/>
      </xdr:nvSpPr>
      <xdr:spPr>
        <a:xfrm>
          <a:off x="8636000" y="2298700"/>
          <a:ext cx="59811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2nd Plt</a:t>
          </a:r>
        </a:p>
      </xdr:txBody>
    </xdr:sp>
    <xdr:clientData/>
  </xdr:oneCellAnchor>
  <xdr:oneCellAnchor>
    <xdr:from>
      <xdr:col>13</xdr:col>
      <xdr:colOff>273050</xdr:colOff>
      <xdr:row>14</xdr:row>
      <xdr:rowOff>76200</xdr:rowOff>
    </xdr:from>
    <xdr:ext cx="1221616" cy="436786"/>
    <xdr:sp macro="" textlink="">
      <xdr:nvSpPr>
        <xdr:cNvPr id="17" name="TextBox 16"/>
        <xdr:cNvSpPr txBox="1"/>
      </xdr:nvSpPr>
      <xdr:spPr>
        <a:xfrm>
          <a:off x="8439150" y="2654300"/>
          <a:ext cx="1221616"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a:solidFill>
                <a:srgbClr val="00B0F0"/>
              </a:solidFill>
            </a:rPr>
            <a:t>Inner Bottom</a:t>
          </a:r>
        </a:p>
        <a:p>
          <a:pPr algn="ctr"/>
          <a:r>
            <a:rPr lang="en-US" sz="1100" b="1">
              <a:solidFill>
                <a:srgbClr val="00B0F0"/>
              </a:solidFill>
            </a:rPr>
            <a:t>(Upper Side Only)</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4</xdr:col>
      <xdr:colOff>153459</xdr:colOff>
      <xdr:row>0</xdr:row>
      <xdr:rowOff>0</xdr:rowOff>
    </xdr:from>
    <xdr:to>
      <xdr:col>14</xdr:col>
      <xdr:colOff>593725</xdr:colOff>
      <xdr:row>19</xdr:row>
      <xdr:rowOff>177800</xdr:rowOff>
    </xdr:to>
    <xdr:pic>
      <xdr:nvPicPr>
        <xdr:cNvPr id="3" name="Picture 2"/>
        <xdr:cNvPicPr>
          <a:picLocks noChangeAspect="1"/>
        </xdr:cNvPicPr>
      </xdr:nvPicPr>
      <xdr:blipFill>
        <a:blip xmlns:r="http://schemas.openxmlformats.org/officeDocument/2006/relationships" r:embed="rId1"/>
        <a:stretch>
          <a:fillRect/>
        </a:stretch>
      </xdr:blipFill>
      <xdr:spPr>
        <a:xfrm>
          <a:off x="2587626" y="0"/>
          <a:ext cx="6525682" cy="3696758"/>
        </a:xfrm>
        <a:prstGeom prst="rect">
          <a:avLst/>
        </a:prstGeom>
      </xdr:spPr>
    </xdr:pic>
    <xdr:clientData/>
  </xdr:twoCellAnchor>
  <xdr:oneCellAnchor>
    <xdr:from>
      <xdr:col>7</xdr:col>
      <xdr:colOff>221192</xdr:colOff>
      <xdr:row>11</xdr:row>
      <xdr:rowOff>31750</xdr:rowOff>
    </xdr:from>
    <xdr:ext cx="256160" cy="264560"/>
    <xdr:sp macro="" textlink="">
      <xdr:nvSpPr>
        <xdr:cNvPr id="4" name="TextBox 3"/>
        <xdr:cNvSpPr txBox="1"/>
      </xdr:nvSpPr>
      <xdr:spPr>
        <a:xfrm>
          <a:off x="4480984" y="2069042"/>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7</a:t>
          </a:r>
        </a:p>
      </xdr:txBody>
    </xdr:sp>
    <xdr:clientData/>
  </xdr:oneCellAnchor>
  <xdr:oneCellAnchor>
    <xdr:from>
      <xdr:col>7</xdr:col>
      <xdr:colOff>606425</xdr:colOff>
      <xdr:row>10</xdr:row>
      <xdr:rowOff>152401</xdr:rowOff>
    </xdr:from>
    <xdr:ext cx="256160" cy="264560"/>
    <xdr:sp macro="" textlink="">
      <xdr:nvSpPr>
        <xdr:cNvPr id="5" name="TextBox 4"/>
        <xdr:cNvSpPr txBox="1"/>
      </xdr:nvSpPr>
      <xdr:spPr>
        <a:xfrm>
          <a:off x="4866217" y="2004484"/>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6</a:t>
          </a:r>
        </a:p>
      </xdr:txBody>
    </xdr:sp>
    <xdr:clientData/>
  </xdr:oneCellAnchor>
  <xdr:oneCellAnchor>
    <xdr:from>
      <xdr:col>8</xdr:col>
      <xdr:colOff>506942</xdr:colOff>
      <xdr:row>10</xdr:row>
      <xdr:rowOff>137584</xdr:rowOff>
    </xdr:from>
    <xdr:ext cx="256160" cy="264560"/>
    <xdr:sp macro="" textlink="">
      <xdr:nvSpPr>
        <xdr:cNvPr id="6" name="TextBox 5"/>
        <xdr:cNvSpPr txBox="1"/>
      </xdr:nvSpPr>
      <xdr:spPr>
        <a:xfrm>
          <a:off x="5375275" y="1989667"/>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5</a:t>
          </a:r>
        </a:p>
      </xdr:txBody>
    </xdr:sp>
    <xdr:clientData/>
  </xdr:oneCellAnchor>
  <xdr:oneCellAnchor>
    <xdr:from>
      <xdr:col>9</xdr:col>
      <xdr:colOff>585258</xdr:colOff>
      <xdr:row>10</xdr:row>
      <xdr:rowOff>141818</xdr:rowOff>
    </xdr:from>
    <xdr:ext cx="256160" cy="264560"/>
    <xdr:sp macro="" textlink="">
      <xdr:nvSpPr>
        <xdr:cNvPr id="7" name="TextBox 6"/>
        <xdr:cNvSpPr txBox="1"/>
      </xdr:nvSpPr>
      <xdr:spPr>
        <a:xfrm>
          <a:off x="6062133" y="1993901"/>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4</a:t>
          </a:r>
        </a:p>
      </xdr:txBody>
    </xdr:sp>
    <xdr:clientData/>
  </xdr:oneCellAnchor>
  <xdr:oneCellAnchor>
    <xdr:from>
      <xdr:col>11</xdr:col>
      <xdr:colOff>70908</xdr:colOff>
      <xdr:row>10</xdr:row>
      <xdr:rowOff>151342</xdr:rowOff>
    </xdr:from>
    <xdr:ext cx="256160" cy="264560"/>
    <xdr:sp macro="" textlink="">
      <xdr:nvSpPr>
        <xdr:cNvPr id="8" name="TextBox 7"/>
        <xdr:cNvSpPr txBox="1"/>
      </xdr:nvSpPr>
      <xdr:spPr>
        <a:xfrm>
          <a:off x="6764866" y="200342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3</a:t>
          </a:r>
        </a:p>
      </xdr:txBody>
    </xdr:sp>
    <xdr:clientData/>
  </xdr:oneCellAnchor>
  <xdr:oneCellAnchor>
    <xdr:from>
      <xdr:col>12</xdr:col>
      <xdr:colOff>218016</xdr:colOff>
      <xdr:row>10</xdr:row>
      <xdr:rowOff>123825</xdr:rowOff>
    </xdr:from>
    <xdr:ext cx="427040" cy="264560"/>
    <xdr:sp macro="" textlink="">
      <xdr:nvSpPr>
        <xdr:cNvPr id="9" name="TextBox 8"/>
        <xdr:cNvSpPr txBox="1"/>
      </xdr:nvSpPr>
      <xdr:spPr>
        <a:xfrm>
          <a:off x="7520516" y="1975908"/>
          <a:ext cx="42704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2&amp;1</a:t>
          </a:r>
        </a:p>
      </xdr:txBody>
    </xdr:sp>
    <xdr:clientData/>
  </xdr:oneCellAnchor>
  <xdr:oneCellAnchor>
    <xdr:from>
      <xdr:col>11</xdr:col>
      <xdr:colOff>402168</xdr:colOff>
      <xdr:row>5</xdr:row>
      <xdr:rowOff>85724</xdr:rowOff>
    </xdr:from>
    <xdr:ext cx="418320" cy="264560"/>
    <xdr:sp macro="" textlink="">
      <xdr:nvSpPr>
        <xdr:cNvPr id="10" name="TextBox 9"/>
        <xdr:cNvSpPr txBox="1"/>
      </xdr:nvSpPr>
      <xdr:spPr>
        <a:xfrm>
          <a:off x="7096126" y="1011766"/>
          <a:ext cx="41832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Mid</a:t>
          </a:r>
        </a:p>
      </xdr:txBody>
    </xdr:sp>
    <xdr:clientData/>
  </xdr:oneCellAnchor>
  <xdr:oneCellAnchor>
    <xdr:from>
      <xdr:col>9</xdr:col>
      <xdr:colOff>258235</xdr:colOff>
      <xdr:row>7</xdr:row>
      <xdr:rowOff>174625</xdr:rowOff>
    </xdr:from>
    <xdr:ext cx="496674" cy="264560"/>
    <xdr:sp macro="" textlink="">
      <xdr:nvSpPr>
        <xdr:cNvPr id="11" name="TextBox 10"/>
        <xdr:cNvSpPr txBox="1"/>
      </xdr:nvSpPr>
      <xdr:spPr>
        <a:xfrm>
          <a:off x="5735110" y="1471083"/>
          <a:ext cx="49667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Stack</a:t>
          </a:r>
        </a:p>
      </xdr:txBody>
    </xdr:sp>
    <xdr:clientData/>
  </xdr:oneCellAnchor>
  <xdr:oneCellAnchor>
    <xdr:from>
      <xdr:col>8</xdr:col>
      <xdr:colOff>537635</xdr:colOff>
      <xdr:row>7</xdr:row>
      <xdr:rowOff>184150</xdr:rowOff>
    </xdr:from>
    <xdr:ext cx="367216" cy="264560"/>
    <xdr:sp macro="" textlink="">
      <xdr:nvSpPr>
        <xdr:cNvPr id="12" name="TextBox 11"/>
        <xdr:cNvSpPr txBox="1"/>
      </xdr:nvSpPr>
      <xdr:spPr>
        <a:xfrm>
          <a:off x="5405968" y="1480608"/>
          <a:ext cx="36721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Ext</a:t>
          </a:r>
        </a:p>
      </xdr:txBody>
    </xdr:sp>
    <xdr:clientData/>
  </xdr:oneCellAnchor>
  <xdr:oneCellAnchor>
    <xdr:from>
      <xdr:col>8</xdr:col>
      <xdr:colOff>129119</xdr:colOff>
      <xdr:row>7</xdr:row>
      <xdr:rowOff>156633</xdr:rowOff>
    </xdr:from>
    <xdr:ext cx="363689" cy="264560"/>
    <xdr:sp macro="" textlink="">
      <xdr:nvSpPr>
        <xdr:cNvPr id="13" name="TextBox 12"/>
        <xdr:cNvSpPr txBox="1"/>
      </xdr:nvSpPr>
      <xdr:spPr>
        <a:xfrm>
          <a:off x="4997452" y="1453091"/>
          <a:ext cx="36368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Aft</a:t>
          </a:r>
        </a:p>
      </xdr:txBody>
    </xdr:sp>
    <xdr:clientData/>
  </xdr:oneCellAnchor>
  <xdr:oneCellAnchor>
    <xdr:from>
      <xdr:col>5</xdr:col>
      <xdr:colOff>588435</xdr:colOff>
      <xdr:row>7</xdr:row>
      <xdr:rowOff>155575</xdr:rowOff>
    </xdr:from>
    <xdr:ext cx="605679" cy="264560"/>
    <xdr:sp macro="" textlink="">
      <xdr:nvSpPr>
        <xdr:cNvPr id="14" name="TextBox 13"/>
        <xdr:cNvSpPr txBox="1"/>
      </xdr:nvSpPr>
      <xdr:spPr>
        <a:xfrm>
          <a:off x="3631143" y="1452033"/>
          <a:ext cx="60567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Hangar</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3</xdr:col>
      <xdr:colOff>596900</xdr:colOff>
      <xdr:row>0</xdr:row>
      <xdr:rowOff>0</xdr:rowOff>
    </xdr:from>
    <xdr:to>
      <xdr:col>15</xdr:col>
      <xdr:colOff>190500</xdr:colOff>
      <xdr:row>21</xdr:row>
      <xdr:rowOff>19050</xdr:rowOff>
    </xdr:to>
    <xdr:pic>
      <xdr:nvPicPr>
        <xdr:cNvPr id="2" name="Picture 1"/>
        <xdr:cNvPicPr>
          <a:picLocks noChangeAspect="1"/>
        </xdr:cNvPicPr>
      </xdr:nvPicPr>
      <xdr:blipFill>
        <a:blip xmlns:r="http://schemas.openxmlformats.org/officeDocument/2006/relationships" r:embed="rId1"/>
        <a:stretch>
          <a:fillRect/>
        </a:stretch>
      </xdr:blipFill>
      <xdr:spPr>
        <a:xfrm>
          <a:off x="2423459" y="0"/>
          <a:ext cx="6899835" cy="3862668"/>
        </a:xfrm>
        <a:prstGeom prst="rect">
          <a:avLst/>
        </a:prstGeom>
      </xdr:spPr>
    </xdr:pic>
    <xdr:clientData/>
  </xdr:twoCellAnchor>
  <xdr:oneCellAnchor>
    <xdr:from>
      <xdr:col>14</xdr:col>
      <xdr:colOff>36980</xdr:colOff>
      <xdr:row>8</xdr:row>
      <xdr:rowOff>20918</xdr:rowOff>
    </xdr:from>
    <xdr:ext cx="256160" cy="264560"/>
    <xdr:sp macro="" textlink="">
      <xdr:nvSpPr>
        <xdr:cNvPr id="3" name="TextBox 2"/>
        <xdr:cNvSpPr txBox="1"/>
      </xdr:nvSpPr>
      <xdr:spPr>
        <a:xfrm>
          <a:off x="8560921" y="1485153"/>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1</a:t>
          </a:r>
        </a:p>
      </xdr:txBody>
    </xdr:sp>
    <xdr:clientData/>
  </xdr:oneCellAnchor>
  <xdr:oneCellAnchor>
    <xdr:from>
      <xdr:col>13</xdr:col>
      <xdr:colOff>342527</xdr:colOff>
      <xdr:row>8</xdr:row>
      <xdr:rowOff>20918</xdr:rowOff>
    </xdr:from>
    <xdr:ext cx="256160" cy="264560"/>
    <xdr:sp macro="" textlink="">
      <xdr:nvSpPr>
        <xdr:cNvPr id="4" name="TextBox 3"/>
        <xdr:cNvSpPr txBox="1"/>
      </xdr:nvSpPr>
      <xdr:spPr>
        <a:xfrm>
          <a:off x="8257615" y="1485153"/>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2</a:t>
          </a:r>
        </a:p>
      </xdr:txBody>
    </xdr:sp>
    <xdr:clientData/>
  </xdr:oneCellAnchor>
  <xdr:oneCellAnchor>
    <xdr:from>
      <xdr:col>12</xdr:col>
      <xdr:colOff>521074</xdr:colOff>
      <xdr:row>8</xdr:row>
      <xdr:rowOff>20918</xdr:rowOff>
    </xdr:from>
    <xdr:ext cx="256160" cy="264560"/>
    <xdr:sp macro="" textlink="">
      <xdr:nvSpPr>
        <xdr:cNvPr id="5" name="TextBox 4"/>
        <xdr:cNvSpPr txBox="1"/>
      </xdr:nvSpPr>
      <xdr:spPr>
        <a:xfrm>
          <a:off x="7827309" y="1485153"/>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3</a:t>
          </a:r>
        </a:p>
      </xdr:txBody>
    </xdr:sp>
    <xdr:clientData/>
  </xdr:oneCellAnchor>
  <xdr:oneCellAnchor>
    <xdr:from>
      <xdr:col>4</xdr:col>
      <xdr:colOff>345142</xdr:colOff>
      <xdr:row>8</xdr:row>
      <xdr:rowOff>20918</xdr:rowOff>
    </xdr:from>
    <xdr:ext cx="327654" cy="264560"/>
    <xdr:sp macro="" textlink="">
      <xdr:nvSpPr>
        <xdr:cNvPr id="6" name="TextBox 5"/>
        <xdr:cNvSpPr txBox="1"/>
      </xdr:nvSpPr>
      <xdr:spPr>
        <a:xfrm>
          <a:off x="2780554" y="1485153"/>
          <a:ext cx="32765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11</a:t>
          </a:r>
        </a:p>
      </xdr:txBody>
    </xdr:sp>
    <xdr:clientData/>
  </xdr:oneCellAnchor>
  <xdr:oneCellAnchor>
    <xdr:from>
      <xdr:col>5</xdr:col>
      <xdr:colOff>321983</xdr:colOff>
      <xdr:row>8</xdr:row>
      <xdr:rowOff>20918</xdr:rowOff>
    </xdr:from>
    <xdr:ext cx="327654" cy="264560"/>
    <xdr:sp macro="" textlink="">
      <xdr:nvSpPr>
        <xdr:cNvPr id="7" name="TextBox 6"/>
        <xdr:cNvSpPr txBox="1"/>
      </xdr:nvSpPr>
      <xdr:spPr>
        <a:xfrm>
          <a:off x="3366248" y="1485153"/>
          <a:ext cx="32765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10</a:t>
          </a:r>
        </a:p>
      </xdr:txBody>
    </xdr:sp>
    <xdr:clientData/>
  </xdr:oneCellAnchor>
  <xdr:oneCellAnchor>
    <xdr:from>
      <xdr:col>6</xdr:col>
      <xdr:colOff>377266</xdr:colOff>
      <xdr:row>8</xdr:row>
      <xdr:rowOff>20918</xdr:rowOff>
    </xdr:from>
    <xdr:ext cx="256160" cy="264560"/>
    <xdr:sp macro="" textlink="">
      <xdr:nvSpPr>
        <xdr:cNvPr id="8" name="TextBox 7"/>
        <xdr:cNvSpPr txBox="1"/>
      </xdr:nvSpPr>
      <xdr:spPr>
        <a:xfrm>
          <a:off x="4030384" y="1485153"/>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9</a:t>
          </a:r>
        </a:p>
      </xdr:txBody>
    </xdr:sp>
    <xdr:clientData/>
  </xdr:oneCellAnchor>
  <xdr:oneCellAnchor>
    <xdr:from>
      <xdr:col>7</xdr:col>
      <xdr:colOff>481107</xdr:colOff>
      <xdr:row>8</xdr:row>
      <xdr:rowOff>20918</xdr:rowOff>
    </xdr:from>
    <xdr:ext cx="256160" cy="264560"/>
    <xdr:sp macro="" textlink="">
      <xdr:nvSpPr>
        <xdr:cNvPr id="9" name="TextBox 8"/>
        <xdr:cNvSpPr txBox="1"/>
      </xdr:nvSpPr>
      <xdr:spPr>
        <a:xfrm>
          <a:off x="4743078" y="1485153"/>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8</a:t>
          </a:r>
        </a:p>
      </xdr:txBody>
    </xdr:sp>
    <xdr:clientData/>
  </xdr:oneCellAnchor>
  <xdr:oneCellAnchor>
    <xdr:from>
      <xdr:col>8</xdr:col>
      <xdr:colOff>491565</xdr:colOff>
      <xdr:row>8</xdr:row>
      <xdr:rowOff>20918</xdr:rowOff>
    </xdr:from>
    <xdr:ext cx="256160" cy="264560"/>
    <xdr:sp macro="" textlink="">
      <xdr:nvSpPr>
        <xdr:cNvPr id="10" name="TextBox 9"/>
        <xdr:cNvSpPr txBox="1"/>
      </xdr:nvSpPr>
      <xdr:spPr>
        <a:xfrm>
          <a:off x="5362389" y="1485153"/>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7</a:t>
          </a:r>
        </a:p>
      </xdr:txBody>
    </xdr:sp>
    <xdr:clientData/>
  </xdr:oneCellAnchor>
  <xdr:oneCellAnchor>
    <xdr:from>
      <xdr:col>9</xdr:col>
      <xdr:colOff>550584</xdr:colOff>
      <xdr:row>8</xdr:row>
      <xdr:rowOff>20918</xdr:rowOff>
    </xdr:from>
    <xdr:ext cx="256160" cy="264560"/>
    <xdr:sp macro="" textlink="">
      <xdr:nvSpPr>
        <xdr:cNvPr id="11" name="TextBox 10"/>
        <xdr:cNvSpPr txBox="1"/>
      </xdr:nvSpPr>
      <xdr:spPr>
        <a:xfrm>
          <a:off x="6030260" y="1485153"/>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6</a:t>
          </a:r>
        </a:p>
      </xdr:txBody>
    </xdr:sp>
    <xdr:clientData/>
  </xdr:oneCellAnchor>
  <xdr:oneCellAnchor>
    <xdr:from>
      <xdr:col>10</xdr:col>
      <xdr:colOff>553572</xdr:colOff>
      <xdr:row>8</xdr:row>
      <xdr:rowOff>20918</xdr:rowOff>
    </xdr:from>
    <xdr:ext cx="256160" cy="264560"/>
    <xdr:sp macro="" textlink="">
      <xdr:nvSpPr>
        <xdr:cNvPr id="12" name="TextBox 11"/>
        <xdr:cNvSpPr txBox="1"/>
      </xdr:nvSpPr>
      <xdr:spPr>
        <a:xfrm>
          <a:off x="6642101" y="1485153"/>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5</a:t>
          </a:r>
        </a:p>
      </xdr:txBody>
    </xdr:sp>
    <xdr:clientData/>
  </xdr:oneCellAnchor>
  <xdr:oneCellAnchor>
    <xdr:from>
      <xdr:col>11</xdr:col>
      <xdr:colOff>556560</xdr:colOff>
      <xdr:row>8</xdr:row>
      <xdr:rowOff>20918</xdr:rowOff>
    </xdr:from>
    <xdr:ext cx="256160" cy="264560"/>
    <xdr:sp macro="" textlink="">
      <xdr:nvSpPr>
        <xdr:cNvPr id="13" name="TextBox 12"/>
        <xdr:cNvSpPr txBox="1"/>
      </xdr:nvSpPr>
      <xdr:spPr>
        <a:xfrm>
          <a:off x="7253942" y="1485153"/>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4</a:t>
          </a: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519528</xdr:colOff>
      <xdr:row>18</xdr:row>
      <xdr:rowOff>42203</xdr:rowOff>
    </xdr:to>
    <xdr:pic>
      <xdr:nvPicPr>
        <xdr:cNvPr id="5" name="Picture 4"/>
        <xdr:cNvPicPr>
          <a:picLocks noChangeAspect="1"/>
        </xdr:cNvPicPr>
      </xdr:nvPicPr>
      <xdr:blipFill>
        <a:blip xmlns:r="http://schemas.openxmlformats.org/officeDocument/2006/relationships" r:embed="rId1"/>
        <a:stretch>
          <a:fillRect/>
        </a:stretch>
      </xdr:blipFill>
      <xdr:spPr>
        <a:xfrm>
          <a:off x="2442308" y="0"/>
          <a:ext cx="6014720" cy="3383280"/>
        </a:xfrm>
        <a:prstGeom prst="rect">
          <a:avLst/>
        </a:prstGeom>
      </xdr:spPr>
    </xdr:pic>
    <xdr:clientData/>
  </xdr:twoCellAnchor>
  <xdr:oneCellAnchor>
    <xdr:from>
      <xdr:col>7</xdr:col>
      <xdr:colOff>448895</xdr:colOff>
      <xdr:row>8</xdr:row>
      <xdr:rowOff>14654</xdr:rowOff>
    </xdr:from>
    <xdr:ext cx="427040" cy="264560"/>
    <xdr:sp macro="" textlink="">
      <xdr:nvSpPr>
        <xdr:cNvPr id="3" name="TextBox 2"/>
        <xdr:cNvSpPr txBox="1"/>
      </xdr:nvSpPr>
      <xdr:spPr>
        <a:xfrm>
          <a:off x="4722933" y="1499577"/>
          <a:ext cx="42704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1&amp;2</a:t>
          </a:r>
        </a:p>
      </xdr:txBody>
    </xdr:sp>
    <xdr:clientData/>
  </xdr:oneCellAnchor>
  <xdr:oneCellAnchor>
    <xdr:from>
      <xdr:col>9</xdr:col>
      <xdr:colOff>313103</xdr:colOff>
      <xdr:row>8</xdr:row>
      <xdr:rowOff>93785</xdr:rowOff>
    </xdr:from>
    <xdr:ext cx="427040" cy="264560"/>
    <xdr:sp macro="" textlink="">
      <xdr:nvSpPr>
        <xdr:cNvPr id="4" name="TextBox 3"/>
        <xdr:cNvSpPr txBox="1"/>
      </xdr:nvSpPr>
      <xdr:spPr>
        <a:xfrm>
          <a:off x="5808295" y="1578708"/>
          <a:ext cx="42704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FF00"/>
              </a:solidFill>
            </a:rPr>
            <a:t>3&amp;4</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utumn.szczepanski/AppData/Roaming/Microsoft/Excel/SHP0067_SHP0068_Areas%20(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0067Short"/>
      <sheetName val="SHP0067-AB"/>
      <sheetName val="SHP0068A-B"/>
      <sheetName val="SHP0068-Short"/>
      <sheetName val="Deckhouse"/>
    </sheetNames>
    <sheetDataSet>
      <sheetData sheetId="0"/>
      <sheetData sheetId="1"/>
      <sheetData sheetId="2"/>
      <sheetData sheetId="3"/>
      <sheetData sheetId="4">
        <row r="3">
          <cell r="D3">
            <v>706</v>
          </cell>
        </row>
        <row r="4">
          <cell r="D4">
            <v>481</v>
          </cell>
        </row>
        <row r="5">
          <cell r="D5">
            <v>232</v>
          </cell>
        </row>
        <row r="6">
          <cell r="D6">
            <v>102</v>
          </cell>
        </row>
        <row r="7">
          <cell r="D7">
            <v>49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tabSelected="1" zoomScale="80" zoomScaleNormal="80" workbookViewId="0">
      <selection activeCell="C5" sqref="C5"/>
    </sheetView>
  </sheetViews>
  <sheetFormatPr defaultRowHeight="14.5" x14ac:dyDescent="0.35"/>
  <cols>
    <col min="2" max="2" width="24.1796875" customWidth="1"/>
    <col min="3" max="3" width="10.6328125" bestFit="1" customWidth="1"/>
    <col min="5" max="5" width="8.7265625" style="13"/>
    <col min="6" max="6" width="17.81640625" customWidth="1"/>
    <col min="7" max="7" width="11.81640625" bestFit="1" customWidth="1"/>
    <col min="8" max="8" width="15.453125" customWidth="1"/>
    <col min="9" max="9" width="11.81640625" bestFit="1" customWidth="1"/>
    <col min="10" max="10" width="14.1796875" bestFit="1" customWidth="1"/>
    <col min="12" max="12" width="53.7265625" customWidth="1"/>
  </cols>
  <sheetData>
    <row r="1" spans="2:14" x14ac:dyDescent="0.35">
      <c r="B1" s="72" t="s">
        <v>119</v>
      </c>
      <c r="G1" s="94"/>
      <c r="H1" s="94"/>
      <c r="I1" s="94"/>
      <c r="J1" s="94"/>
      <c r="K1" s="46"/>
      <c r="L1" s="46"/>
    </row>
    <row r="2" spans="2:14" ht="15" thickBot="1" x14ac:dyDescent="0.4">
      <c r="G2" s="94"/>
      <c r="H2" s="94"/>
      <c r="I2" s="94"/>
      <c r="J2" s="94"/>
      <c r="K2" s="46"/>
      <c r="L2" s="46"/>
    </row>
    <row r="3" spans="2:14" x14ac:dyDescent="0.35">
      <c r="B3" s="1" t="s">
        <v>0</v>
      </c>
      <c r="C3" s="92">
        <f>'External Hull'!B1</f>
        <v>7358.1386000000002</v>
      </c>
      <c r="D3" s="16" t="s">
        <v>18</v>
      </c>
      <c r="E3" s="14"/>
      <c r="F3" s="60" t="s">
        <v>18</v>
      </c>
      <c r="G3" s="98" t="s">
        <v>100</v>
      </c>
      <c r="H3" s="98"/>
      <c r="I3" s="98"/>
      <c r="J3" s="98"/>
      <c r="K3" s="98"/>
      <c r="L3" s="99"/>
    </row>
    <row r="4" spans="2:14" x14ac:dyDescent="0.35">
      <c r="B4" s="1" t="s">
        <v>1</v>
      </c>
      <c r="C4" s="48">
        <f>'Weather Dk'!B5</f>
        <v>2584.6667733665445</v>
      </c>
      <c r="D4" s="16" t="s">
        <v>19</v>
      </c>
      <c r="E4" s="14"/>
      <c r="F4" s="59" t="s">
        <v>19</v>
      </c>
      <c r="G4" s="100" t="s">
        <v>101</v>
      </c>
      <c r="H4" s="100"/>
      <c r="I4" s="100"/>
      <c r="J4" s="100"/>
      <c r="K4" s="100"/>
      <c r="L4" s="101"/>
    </row>
    <row r="5" spans="2:14" ht="15" customHeight="1" x14ac:dyDescent="0.35">
      <c r="B5" s="1" t="s">
        <v>120</v>
      </c>
      <c r="C5" s="92">
        <f>'Dk Hs External'!H44</f>
        <v>1862.3842779022559</v>
      </c>
      <c r="D5" s="16" t="s">
        <v>20</v>
      </c>
      <c r="E5" s="14"/>
      <c r="F5" s="102" t="s">
        <v>20</v>
      </c>
      <c r="G5" s="100" t="s">
        <v>102</v>
      </c>
      <c r="H5" s="100"/>
      <c r="I5" s="100"/>
      <c r="J5" s="100"/>
      <c r="K5" s="100"/>
      <c r="L5" s="101"/>
    </row>
    <row r="6" spans="2:14" ht="15" thickBot="1" x14ac:dyDescent="0.4">
      <c r="B6" s="91" t="s">
        <v>121</v>
      </c>
      <c r="C6" s="93">
        <f>'Weather Dk'!B18</f>
        <v>789.55940352954497</v>
      </c>
      <c r="E6" s="15"/>
      <c r="F6" s="102"/>
      <c r="G6" s="100"/>
      <c r="H6" s="100"/>
      <c r="I6" s="100"/>
      <c r="J6" s="100"/>
      <c r="K6" s="100"/>
      <c r="L6" s="101"/>
    </row>
    <row r="7" spans="2:14" ht="15" thickTop="1" x14ac:dyDescent="0.35">
      <c r="B7" s="6" t="s">
        <v>3</v>
      </c>
      <c r="C7" s="7">
        <f>SUM(C3:C5)</f>
        <v>11805.1896512688</v>
      </c>
      <c r="D7" s="17"/>
      <c r="F7" s="71"/>
      <c r="G7" s="28"/>
      <c r="H7" s="28"/>
      <c r="I7" s="28"/>
      <c r="J7" s="28"/>
      <c r="K7" s="28"/>
      <c r="L7" s="63"/>
    </row>
    <row r="8" spans="2:14" ht="14.5" customHeight="1" x14ac:dyDescent="0.35">
      <c r="E8" s="14"/>
      <c r="F8" s="102" t="s">
        <v>21</v>
      </c>
      <c r="G8" s="100" t="s">
        <v>103</v>
      </c>
      <c r="H8" s="100"/>
      <c r="I8" s="100"/>
      <c r="J8" s="100"/>
      <c r="K8" s="100"/>
      <c r="L8" s="101"/>
      <c r="M8" s="43"/>
    </row>
    <row r="9" spans="2:14" x14ac:dyDescent="0.35">
      <c r="B9" s="1" t="s">
        <v>4</v>
      </c>
      <c r="C9" s="48"/>
      <c r="D9" s="16" t="s">
        <v>21</v>
      </c>
      <c r="E9" s="14"/>
      <c r="F9" s="102"/>
      <c r="G9" s="100"/>
      <c r="H9" s="100"/>
      <c r="I9" s="100"/>
      <c r="J9" s="100"/>
      <c r="K9" s="100"/>
      <c r="L9" s="101"/>
      <c r="M9" s="43"/>
    </row>
    <row r="10" spans="2:14" ht="15" customHeight="1" x14ac:dyDescent="0.35">
      <c r="B10" s="57" t="s">
        <v>98</v>
      </c>
      <c r="C10" s="48">
        <f>'Inner Dks'!F24</f>
        <v>18193.604469051115</v>
      </c>
      <c r="D10" s="16"/>
      <c r="E10" s="14"/>
      <c r="F10" s="62"/>
      <c r="G10" s="28"/>
      <c r="H10" s="28"/>
      <c r="I10" s="28"/>
      <c r="J10" s="28"/>
      <c r="K10" s="28"/>
      <c r="L10" s="63"/>
      <c r="M10" s="43"/>
    </row>
    <row r="11" spans="2:14" ht="15" customHeight="1" thickBot="1" x14ac:dyDescent="0.4">
      <c r="B11" s="65" t="s">
        <v>99</v>
      </c>
      <c r="C11" s="67">
        <f>'DH Inner Dks'!F31</f>
        <v>4079.6758114913714</v>
      </c>
      <c r="D11" s="16"/>
      <c r="E11" s="14"/>
      <c r="F11" s="62"/>
      <c r="G11" s="28"/>
      <c r="H11" s="28"/>
      <c r="I11" s="28"/>
      <c r="J11" s="28"/>
      <c r="K11" s="28"/>
      <c r="L11" s="63"/>
      <c r="M11" s="43"/>
    </row>
    <row r="12" spans="2:14" ht="15" customHeight="1" thickTop="1" x14ac:dyDescent="0.35">
      <c r="B12" s="68" t="s">
        <v>106</v>
      </c>
      <c r="C12" s="66">
        <f>SUM(C10:C11)</f>
        <v>22273.280280542487</v>
      </c>
      <c r="D12" s="16"/>
      <c r="E12" s="14"/>
      <c r="F12" s="62"/>
      <c r="G12" s="28"/>
      <c r="H12" s="28"/>
      <c r="I12" s="28"/>
      <c r="J12" s="28"/>
      <c r="K12" s="28"/>
      <c r="L12" s="63"/>
      <c r="M12" s="43"/>
    </row>
    <row r="13" spans="2:14" x14ac:dyDescent="0.35">
      <c r="B13" s="68"/>
      <c r="C13" s="66"/>
      <c r="D13" s="16"/>
      <c r="E13" s="14"/>
      <c r="F13" s="59" t="s">
        <v>22</v>
      </c>
      <c r="G13" s="100" t="s">
        <v>104</v>
      </c>
      <c r="H13" s="100"/>
      <c r="I13" s="100"/>
      <c r="J13" s="100"/>
      <c r="K13" s="100"/>
      <c r="L13" s="101"/>
    </row>
    <row r="14" spans="2:14" x14ac:dyDescent="0.35">
      <c r="B14" s="57" t="s">
        <v>5</v>
      </c>
      <c r="C14" s="3">
        <f>TBHDs!D14</f>
        <v>5215.836997072397</v>
      </c>
      <c r="D14" s="16" t="s">
        <v>22</v>
      </c>
      <c r="E14" s="14"/>
      <c r="F14" s="59" t="s">
        <v>23</v>
      </c>
      <c r="G14" s="104" t="s">
        <v>105</v>
      </c>
      <c r="H14" s="105"/>
      <c r="I14" s="105"/>
      <c r="J14" s="105"/>
      <c r="K14" s="105"/>
      <c r="L14" s="106"/>
      <c r="M14" s="43"/>
      <c r="N14" s="46"/>
    </row>
    <row r="15" spans="2:14" ht="15" thickBot="1" x14ac:dyDescent="0.4">
      <c r="B15" s="65" t="s">
        <v>6</v>
      </c>
      <c r="C15" s="5">
        <f>LBHDs!D6</f>
        <v>1117.4311241731502</v>
      </c>
      <c r="D15" s="16" t="s">
        <v>23</v>
      </c>
      <c r="E15" s="14"/>
      <c r="F15" s="62"/>
      <c r="G15" s="46"/>
      <c r="H15" s="46"/>
      <c r="I15" s="31"/>
      <c r="J15" s="31"/>
      <c r="K15" s="46"/>
      <c r="L15" s="64"/>
      <c r="M15" s="43"/>
      <c r="N15" s="46"/>
    </row>
    <row r="16" spans="2:14" ht="15" thickTop="1" x14ac:dyDescent="0.35">
      <c r="B16" s="10" t="s">
        <v>7</v>
      </c>
      <c r="C16" s="2">
        <f>SUM(C14:C15)</f>
        <v>6333.2681212455473</v>
      </c>
      <c r="D16" s="16"/>
      <c r="E16" s="14"/>
      <c r="F16" s="62"/>
      <c r="G16" s="46"/>
      <c r="H16" s="46"/>
      <c r="I16" s="31"/>
      <c r="J16" s="31"/>
      <c r="K16" s="46"/>
      <c r="L16" s="64"/>
      <c r="M16" s="43"/>
      <c r="N16" s="46"/>
    </row>
    <row r="17" spans="1:14" x14ac:dyDescent="0.35">
      <c r="B17" s="69"/>
      <c r="C17" s="70"/>
      <c r="D17" s="16"/>
      <c r="E17" s="14"/>
      <c r="F17" s="86" t="s">
        <v>24</v>
      </c>
      <c r="G17" s="83" t="s">
        <v>117</v>
      </c>
      <c r="H17" s="83"/>
      <c r="I17" s="87"/>
      <c r="J17" s="87"/>
      <c r="K17" s="83"/>
      <c r="L17" s="88"/>
      <c r="M17" s="46"/>
      <c r="N17" s="46"/>
    </row>
    <row r="18" spans="1:14" ht="15" thickBot="1" x14ac:dyDescent="0.4">
      <c r="B18" s="1" t="s">
        <v>8</v>
      </c>
      <c r="C18" s="3">
        <f>C3</f>
        <v>7358.1386000000002</v>
      </c>
      <c r="D18" s="16" t="s">
        <v>24</v>
      </c>
      <c r="E18" s="15"/>
      <c r="F18" s="61" t="s">
        <v>48</v>
      </c>
      <c r="G18" s="89" t="s">
        <v>118</v>
      </c>
      <c r="H18" s="84"/>
      <c r="I18" s="84"/>
      <c r="J18" s="84"/>
      <c r="K18" s="84"/>
      <c r="L18" s="85"/>
    </row>
    <row r="19" spans="1:14" x14ac:dyDescent="0.35">
      <c r="B19" s="83" t="s">
        <v>116</v>
      </c>
      <c r="C19" s="90">
        <f>C5</f>
        <v>1862.3842779022559</v>
      </c>
      <c r="D19" s="82" t="s">
        <v>48</v>
      </c>
      <c r="G19" s="46"/>
      <c r="H19" s="46"/>
      <c r="I19" s="31"/>
      <c r="J19" s="31"/>
      <c r="K19" s="46"/>
      <c r="L19" s="25"/>
    </row>
    <row r="20" spans="1:14" ht="15" thickBot="1" x14ac:dyDescent="0.4">
      <c r="B20" s="4"/>
      <c r="C20" s="4"/>
      <c r="G20" s="46"/>
      <c r="H20" s="46"/>
      <c r="I20" s="46"/>
      <c r="J20" s="46"/>
      <c r="K20" s="46"/>
    </row>
    <row r="21" spans="1:14" ht="15" thickTop="1" x14ac:dyDescent="0.35">
      <c r="B21" s="11" t="s">
        <v>9</v>
      </c>
      <c r="C21" s="12">
        <f>SUM(C16:C19)+SUM(C12)</f>
        <v>37827.071279690295</v>
      </c>
      <c r="F21" s="44"/>
      <c r="G21" s="103"/>
      <c r="H21" s="103"/>
      <c r="I21" s="103"/>
      <c r="J21" s="103"/>
      <c r="K21" s="103"/>
      <c r="L21" s="103"/>
    </row>
    <row r="22" spans="1:14" ht="18.649999999999999" customHeight="1" x14ac:dyDescent="0.35">
      <c r="G22" s="46"/>
      <c r="H22" s="46"/>
      <c r="I22" s="46"/>
      <c r="J22" s="46"/>
      <c r="K22" s="46"/>
    </row>
    <row r="23" spans="1:14" s="13" customFormat="1" ht="15" hidden="1" thickBot="1" x14ac:dyDescent="0.4"/>
    <row r="24" spans="1:14" ht="15" hidden="1" thickBot="1" x14ac:dyDescent="0.4">
      <c r="A24" s="95"/>
      <c r="B24" s="96"/>
      <c r="C24" s="96"/>
      <c r="D24" s="97"/>
    </row>
    <row r="25" spans="1:14" x14ac:dyDescent="0.35">
      <c r="B25" s="23"/>
    </row>
    <row r="26" spans="1:14" ht="51.5" customHeight="1" x14ac:dyDescent="0.35">
      <c r="B26" s="23"/>
    </row>
    <row r="27" spans="1:14" ht="48" customHeight="1" x14ac:dyDescent="0.35"/>
    <row r="28" spans="1:14" ht="63.75" customHeight="1" x14ac:dyDescent="0.35"/>
    <row r="29" spans="1:14" ht="32.5" customHeight="1" x14ac:dyDescent="0.35"/>
    <row r="30" spans="1:14" x14ac:dyDescent="0.35">
      <c r="B30" s="23"/>
    </row>
    <row r="32" spans="1:14" ht="73.5" customHeight="1" x14ac:dyDescent="0.35">
      <c r="B32" s="23"/>
    </row>
    <row r="33" spans="2:2" x14ac:dyDescent="0.35">
      <c r="B33" s="23"/>
    </row>
    <row r="35" spans="2:2" x14ac:dyDescent="0.35">
      <c r="B35" s="23"/>
    </row>
    <row r="36" spans="2:2" x14ac:dyDescent="0.35">
      <c r="B36" s="23"/>
    </row>
    <row r="37" spans="2:2" x14ac:dyDescent="0.35">
      <c r="B37" s="23"/>
    </row>
    <row r="38" spans="2:2" x14ac:dyDescent="0.35">
      <c r="B38" s="23"/>
    </row>
    <row r="39" spans="2:2" x14ac:dyDescent="0.35">
      <c r="B39" s="23"/>
    </row>
    <row r="40" spans="2:2" x14ac:dyDescent="0.35">
      <c r="B40" s="23"/>
    </row>
    <row r="41" spans="2:2" x14ac:dyDescent="0.35">
      <c r="B41" s="23"/>
    </row>
    <row r="42" spans="2:2" ht="47.15" customHeight="1" x14ac:dyDescent="0.35">
      <c r="B42" s="23"/>
    </row>
    <row r="43" spans="2:2" x14ac:dyDescent="0.35">
      <c r="B43" s="23"/>
    </row>
    <row r="44" spans="2:2" x14ac:dyDescent="0.35">
      <c r="B44" s="23"/>
    </row>
    <row r="45" spans="2:2" x14ac:dyDescent="0.35">
      <c r="B45" s="23"/>
    </row>
    <row r="46" spans="2:2" x14ac:dyDescent="0.35">
      <c r="B46" s="23"/>
    </row>
  </sheetData>
  <mergeCells count="12">
    <mergeCell ref="G1:J1"/>
    <mergeCell ref="G2:J2"/>
    <mergeCell ref="A24:D24"/>
    <mergeCell ref="G3:L3"/>
    <mergeCell ref="G4:L4"/>
    <mergeCell ref="F5:F6"/>
    <mergeCell ref="F8:F9"/>
    <mergeCell ref="G13:L13"/>
    <mergeCell ref="G21:L21"/>
    <mergeCell ref="G14:L14"/>
    <mergeCell ref="G5:L6"/>
    <mergeCell ref="G8:L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zoomScale="80" zoomScaleNormal="80" workbookViewId="0">
      <selection activeCell="H16" sqref="H16"/>
    </sheetView>
  </sheetViews>
  <sheetFormatPr defaultRowHeight="14.5" x14ac:dyDescent="0.35"/>
  <cols>
    <col min="2" max="2" width="24.1796875" customWidth="1"/>
    <col min="3" max="3" width="9.36328125" bestFit="1" customWidth="1"/>
    <col min="5" max="5" width="8.90625" style="13"/>
    <col min="6" max="6" width="17.81640625" customWidth="1"/>
    <col min="7" max="7" width="11.81640625" bestFit="1" customWidth="1"/>
    <col min="8" max="8" width="15.453125" customWidth="1"/>
    <col min="9" max="9" width="11.81640625" bestFit="1" customWidth="1"/>
    <col min="10" max="10" width="14.1796875" bestFit="1" customWidth="1"/>
    <col min="12" max="12" width="64.54296875" customWidth="1"/>
  </cols>
  <sheetData>
    <row r="1" spans="2:13" x14ac:dyDescent="0.35">
      <c r="B1" s="35" t="s">
        <v>61</v>
      </c>
      <c r="G1" s="112" t="s">
        <v>48</v>
      </c>
      <c r="H1" s="112"/>
      <c r="I1" s="112"/>
      <c r="J1" s="112"/>
    </row>
    <row r="2" spans="2:13" x14ac:dyDescent="0.35">
      <c r="G2" s="112" t="s">
        <v>12</v>
      </c>
      <c r="H2" s="112"/>
      <c r="I2" s="112"/>
      <c r="J2" s="112"/>
    </row>
    <row r="3" spans="2:13" x14ac:dyDescent="0.35">
      <c r="B3" s="1" t="s">
        <v>0</v>
      </c>
      <c r="C3" s="3">
        <v>7541.69</v>
      </c>
      <c r="D3" s="16" t="s">
        <v>18</v>
      </c>
      <c r="E3" s="14"/>
      <c r="G3" s="28" t="s">
        <v>11</v>
      </c>
      <c r="H3" s="28" t="s">
        <v>13</v>
      </c>
      <c r="I3" s="28" t="s">
        <v>14</v>
      </c>
      <c r="J3" s="28" t="s">
        <v>15</v>
      </c>
      <c r="L3" s="25"/>
    </row>
    <row r="4" spans="2:13" x14ac:dyDescent="0.35">
      <c r="B4" s="1" t="s">
        <v>1</v>
      </c>
      <c r="C4" s="3">
        <f>J16</f>
        <v>2016.2779999999998</v>
      </c>
      <c r="D4" s="16" t="s">
        <v>19</v>
      </c>
      <c r="E4" s="14"/>
      <c r="G4" s="28" t="s">
        <v>10</v>
      </c>
      <c r="H4" s="29">
        <v>914.18299999999999</v>
      </c>
      <c r="I4" s="29">
        <v>914.18299999999999</v>
      </c>
      <c r="J4" s="30">
        <f t="shared" ref="J4:J7" si="0">I4-H4</f>
        <v>0</v>
      </c>
      <c r="L4" s="25" t="s">
        <v>71</v>
      </c>
      <c r="M4" s="45"/>
    </row>
    <row r="5" spans="2:13" ht="15" thickBot="1" x14ac:dyDescent="0.4">
      <c r="B5" s="4" t="s">
        <v>2</v>
      </c>
      <c r="C5" s="36">
        <f>M7</f>
        <v>2525</v>
      </c>
      <c r="D5" s="16" t="s">
        <v>20</v>
      </c>
      <c r="E5" s="14"/>
      <c r="G5" s="28">
        <v>2</v>
      </c>
      <c r="H5" s="30">
        <v>959.053</v>
      </c>
      <c r="I5" s="30">
        <v>959.053</v>
      </c>
      <c r="J5" s="30">
        <f t="shared" si="0"/>
        <v>0</v>
      </c>
      <c r="L5" s="26"/>
      <c r="M5" s="16"/>
    </row>
    <row r="6" spans="2:13" ht="15" thickTop="1" x14ac:dyDescent="0.35">
      <c r="B6" s="6" t="s">
        <v>3</v>
      </c>
      <c r="C6" s="7">
        <f>SUM(C3:C5)</f>
        <v>12082.967999999999</v>
      </c>
      <c r="D6" s="17"/>
      <c r="E6" s="15"/>
      <c r="G6" s="28">
        <v>3</v>
      </c>
      <c r="H6" s="30">
        <v>1935.396</v>
      </c>
      <c r="I6" s="30">
        <v>1935.396</v>
      </c>
      <c r="J6" s="30">
        <f t="shared" si="0"/>
        <v>0</v>
      </c>
      <c r="L6" s="25" t="s">
        <v>57</v>
      </c>
      <c r="M6" s="42">
        <v>1570</v>
      </c>
    </row>
    <row r="7" spans="2:13" x14ac:dyDescent="0.35">
      <c r="G7" s="28">
        <v>4</v>
      </c>
      <c r="H7" s="31">
        <v>2662.97</v>
      </c>
      <c r="I7" s="31">
        <v>2662.97</v>
      </c>
      <c r="J7" s="30">
        <f t="shared" si="0"/>
        <v>0</v>
      </c>
      <c r="L7" s="25" t="s">
        <v>70</v>
      </c>
      <c r="M7" s="41">
        <v>2525</v>
      </c>
    </row>
    <row r="8" spans="2:13" x14ac:dyDescent="0.35">
      <c r="B8" s="1" t="s">
        <v>4</v>
      </c>
      <c r="C8" s="3">
        <f>H16</f>
        <v>21091.401000000002</v>
      </c>
      <c r="D8" s="16" t="s">
        <v>21</v>
      </c>
      <c r="E8" s="14"/>
      <c r="G8" s="28">
        <v>5</v>
      </c>
      <c r="H8" s="31">
        <v>1881.19</v>
      </c>
      <c r="I8" s="31">
        <v>2998.4679999999998</v>
      </c>
      <c r="J8" s="30">
        <f>I8-H8</f>
        <v>1117.2779999999998</v>
      </c>
      <c r="K8" s="29"/>
      <c r="L8" s="25"/>
    </row>
    <row r="9" spans="2:13" x14ac:dyDescent="0.35">
      <c r="B9" s="8" t="s">
        <v>5</v>
      </c>
      <c r="C9" s="38">
        <f>2*M10</f>
        <v>5027.96</v>
      </c>
      <c r="D9" s="16" t="s">
        <v>22</v>
      </c>
      <c r="E9" s="14"/>
      <c r="F9" t="s">
        <v>17</v>
      </c>
      <c r="G9" s="28">
        <v>6</v>
      </c>
      <c r="H9" s="40">
        <v>1080</v>
      </c>
      <c r="I9" s="30">
        <v>1979</v>
      </c>
      <c r="J9" s="30">
        <f>I9-H9</f>
        <v>899</v>
      </c>
      <c r="L9" s="25"/>
    </row>
    <row r="10" spans="2:13" ht="15" thickBot="1" x14ac:dyDescent="0.4">
      <c r="B10" s="9" t="s">
        <v>6</v>
      </c>
      <c r="C10" s="38">
        <f>2*M11</f>
        <v>997.88800000000003</v>
      </c>
      <c r="D10" s="16" t="s">
        <v>23</v>
      </c>
      <c r="E10" s="14"/>
      <c r="F10" s="44"/>
      <c r="G10" s="28">
        <v>7</v>
      </c>
      <c r="H10" s="33">
        <f>[1]Deckhouse!D3</f>
        <v>706</v>
      </c>
      <c r="I10" s="30"/>
      <c r="J10" s="30"/>
      <c r="L10" s="27" t="s">
        <v>58</v>
      </c>
      <c r="M10" s="37">
        <v>2513.98</v>
      </c>
    </row>
    <row r="11" spans="2:13" ht="15" thickTop="1" x14ac:dyDescent="0.35">
      <c r="B11" s="10" t="s">
        <v>7</v>
      </c>
      <c r="C11" s="2">
        <f>SUM(C8:C10)</f>
        <v>27117.249</v>
      </c>
      <c r="D11" s="16"/>
      <c r="E11" s="14"/>
      <c r="G11" s="28">
        <v>8</v>
      </c>
      <c r="H11" s="33">
        <f>[1]Deckhouse!D4</f>
        <v>481</v>
      </c>
      <c r="I11" s="30"/>
      <c r="J11" s="30"/>
      <c r="L11" s="25" t="s">
        <v>59</v>
      </c>
      <c r="M11" s="3">
        <v>498.94400000000002</v>
      </c>
    </row>
    <row r="12" spans="2:13" ht="15" thickBot="1" x14ac:dyDescent="0.4">
      <c r="B12" s="4" t="s">
        <v>8</v>
      </c>
      <c r="C12" s="5">
        <f>C3</f>
        <v>7541.69</v>
      </c>
      <c r="D12" s="16" t="s">
        <v>24</v>
      </c>
      <c r="E12" s="14"/>
      <c r="G12" s="28">
        <v>9</v>
      </c>
      <c r="H12" s="33">
        <f>[1]Deckhouse!D5</f>
        <v>232</v>
      </c>
      <c r="I12" s="30"/>
      <c r="J12" s="30"/>
      <c r="L12" s="25"/>
    </row>
    <row r="13" spans="2:13" ht="15" thickTop="1" x14ac:dyDescent="0.35">
      <c r="B13" s="11" t="s">
        <v>9</v>
      </c>
      <c r="C13" s="12">
        <f>SUM(C11:C12)</f>
        <v>34658.938999999998</v>
      </c>
      <c r="D13" s="17"/>
      <c r="E13" s="15"/>
      <c r="G13" s="28">
        <v>10</v>
      </c>
      <c r="H13" s="33">
        <f>[1]Deckhouse!D6</f>
        <v>102</v>
      </c>
      <c r="I13" s="30"/>
      <c r="J13" s="30"/>
      <c r="L13" s="25"/>
    </row>
    <row r="14" spans="2:13" x14ac:dyDescent="0.35">
      <c r="G14" s="28">
        <v>11</v>
      </c>
      <c r="H14" s="34">
        <f>[1]Deckhouse!D7</f>
        <v>49</v>
      </c>
      <c r="I14" s="30"/>
      <c r="J14" s="30"/>
      <c r="L14" s="25"/>
    </row>
    <row r="15" spans="2:13" ht="15" thickBot="1" x14ac:dyDescent="0.4"/>
    <row r="16" spans="2:13" x14ac:dyDescent="0.35">
      <c r="G16" t="s">
        <v>16</v>
      </c>
      <c r="H16" s="32">
        <f>SUM(H5:H14)*2+H4</f>
        <v>21091.401000000002</v>
      </c>
      <c r="J16" s="18">
        <f>SUM(J4:J14)</f>
        <v>2016.2779999999998</v>
      </c>
    </row>
    <row r="17" spans="1:12" ht="15.65" customHeight="1" thickBot="1" x14ac:dyDescent="0.4">
      <c r="H17" s="19" t="s">
        <v>21</v>
      </c>
      <c r="J17" s="19" t="s">
        <v>19</v>
      </c>
    </row>
    <row r="18" spans="1:12" s="13" customFormat="1" ht="15" hidden="1" thickBot="1" x14ac:dyDescent="0.4"/>
    <row r="19" spans="1:12" ht="15" hidden="1" thickBot="1" x14ac:dyDescent="0.4">
      <c r="A19" s="95" t="s">
        <v>26</v>
      </c>
      <c r="B19" s="96"/>
      <c r="C19" s="96"/>
      <c r="D19" s="97"/>
    </row>
    <row r="20" spans="1:12" ht="29" x14ac:dyDescent="0.35">
      <c r="A20">
        <v>1</v>
      </c>
      <c r="B20" s="23" t="s">
        <v>27</v>
      </c>
      <c r="F20" s="20" t="s">
        <v>18</v>
      </c>
      <c r="G20" s="98" t="s">
        <v>25</v>
      </c>
      <c r="H20" s="98"/>
      <c r="I20" s="98"/>
      <c r="J20" s="98"/>
      <c r="K20" s="98"/>
      <c r="L20" s="99"/>
    </row>
    <row r="21" spans="1:12" ht="51.5" customHeight="1" x14ac:dyDescent="0.35">
      <c r="A21">
        <v>2</v>
      </c>
      <c r="B21" s="23" t="s">
        <v>28</v>
      </c>
      <c r="F21" s="21" t="s">
        <v>19</v>
      </c>
      <c r="G21" s="100" t="s">
        <v>49</v>
      </c>
      <c r="H21" s="100"/>
      <c r="I21" s="100"/>
      <c r="J21" s="100"/>
      <c r="K21" s="100"/>
      <c r="L21" s="101"/>
    </row>
    <row r="22" spans="1:12" ht="48" customHeight="1" x14ac:dyDescent="0.35">
      <c r="A22">
        <v>3</v>
      </c>
      <c r="B22" t="s">
        <v>29</v>
      </c>
      <c r="F22" s="21" t="s">
        <v>20</v>
      </c>
      <c r="G22" s="100" t="s">
        <v>56</v>
      </c>
      <c r="H22" s="100"/>
      <c r="I22" s="100"/>
      <c r="J22" s="100"/>
      <c r="K22" s="100"/>
      <c r="L22" s="101"/>
    </row>
    <row r="23" spans="1:12" ht="63.75" customHeight="1" x14ac:dyDescent="0.35">
      <c r="A23">
        <v>4</v>
      </c>
      <c r="B23" t="s">
        <v>31</v>
      </c>
      <c r="F23" s="21" t="s">
        <v>21</v>
      </c>
      <c r="G23" s="100" t="s">
        <v>51</v>
      </c>
      <c r="H23" s="100"/>
      <c r="I23" s="100"/>
      <c r="J23" s="100"/>
      <c r="K23" s="100"/>
      <c r="L23" s="101"/>
    </row>
    <row r="24" spans="1:12" ht="32.5" customHeight="1" x14ac:dyDescent="0.35">
      <c r="A24">
        <v>5</v>
      </c>
      <c r="B24" t="s">
        <v>32</v>
      </c>
      <c r="F24" s="21" t="s">
        <v>22</v>
      </c>
      <c r="G24" s="100" t="s">
        <v>52</v>
      </c>
      <c r="H24" s="100"/>
      <c r="I24" s="100"/>
      <c r="J24" s="100"/>
      <c r="K24" s="100"/>
      <c r="L24" s="101"/>
    </row>
    <row r="25" spans="1:12" ht="29" x14ac:dyDescent="0.35">
      <c r="A25">
        <v>6</v>
      </c>
      <c r="B25" s="23" t="s">
        <v>33</v>
      </c>
      <c r="F25" s="21" t="s">
        <v>23</v>
      </c>
      <c r="G25" s="100" t="s">
        <v>53</v>
      </c>
      <c r="H25" s="100"/>
      <c r="I25" s="100"/>
      <c r="J25" s="100"/>
      <c r="K25" s="100"/>
      <c r="L25" s="101"/>
    </row>
    <row r="26" spans="1:12" ht="15" thickBot="1" x14ac:dyDescent="0.4">
      <c r="A26">
        <v>7</v>
      </c>
      <c r="B26" t="s">
        <v>34</v>
      </c>
      <c r="F26" s="22" t="s">
        <v>24</v>
      </c>
      <c r="G26" s="107" t="s">
        <v>54</v>
      </c>
      <c r="H26" s="107"/>
      <c r="I26" s="107"/>
      <c r="J26" s="107"/>
      <c r="K26" s="107"/>
      <c r="L26" s="108"/>
    </row>
    <row r="27" spans="1:12" ht="73.5" customHeight="1" thickBot="1" x14ac:dyDescent="0.4">
      <c r="A27">
        <v>8</v>
      </c>
      <c r="B27" s="23" t="s">
        <v>36</v>
      </c>
      <c r="F27" s="24" t="s">
        <v>48</v>
      </c>
      <c r="G27" s="109" t="s">
        <v>55</v>
      </c>
      <c r="H27" s="110"/>
      <c r="I27" s="110"/>
      <c r="J27" s="110"/>
      <c r="K27" s="110"/>
      <c r="L27" s="111"/>
    </row>
    <row r="28" spans="1:12" ht="29" x14ac:dyDescent="0.35">
      <c r="A28">
        <v>9</v>
      </c>
      <c r="B28" s="23" t="s">
        <v>35</v>
      </c>
    </row>
    <row r="29" spans="1:12" x14ac:dyDescent="0.35">
      <c r="A29">
        <v>10</v>
      </c>
      <c r="B29" t="s">
        <v>37</v>
      </c>
    </row>
    <row r="30" spans="1:12" ht="29" x14ac:dyDescent="0.35">
      <c r="A30">
        <v>11</v>
      </c>
      <c r="B30" s="23" t="s">
        <v>38</v>
      </c>
    </row>
    <row r="31" spans="1:12" ht="29" x14ac:dyDescent="0.35">
      <c r="A31">
        <v>12</v>
      </c>
      <c r="B31" s="23" t="s">
        <v>39</v>
      </c>
    </row>
    <row r="32" spans="1:12" ht="29" x14ac:dyDescent="0.35">
      <c r="A32">
        <v>13</v>
      </c>
      <c r="B32" s="23" t="s">
        <v>40</v>
      </c>
    </row>
    <row r="33" spans="1:2" x14ac:dyDescent="0.35">
      <c r="A33">
        <v>14</v>
      </c>
      <c r="B33" s="23" t="s">
        <v>41</v>
      </c>
    </row>
    <row r="34" spans="1:2" x14ac:dyDescent="0.35">
      <c r="A34">
        <v>15</v>
      </c>
      <c r="B34" s="23" t="s">
        <v>42</v>
      </c>
    </row>
    <row r="35" spans="1:2" ht="29" x14ac:dyDescent="0.35">
      <c r="A35">
        <v>16</v>
      </c>
      <c r="B35" s="23" t="s">
        <v>43</v>
      </c>
    </row>
    <row r="36" spans="1:2" ht="43.5" x14ac:dyDescent="0.35">
      <c r="A36">
        <v>17</v>
      </c>
      <c r="B36" s="23" t="s">
        <v>44</v>
      </c>
    </row>
    <row r="37" spans="1:2" ht="47.15" customHeight="1" x14ac:dyDescent="0.35">
      <c r="A37">
        <v>18</v>
      </c>
      <c r="B37" s="23" t="s">
        <v>45</v>
      </c>
    </row>
    <row r="38" spans="1:2" ht="29" x14ac:dyDescent="0.35">
      <c r="A38">
        <v>19</v>
      </c>
      <c r="B38" s="23" t="s">
        <v>46</v>
      </c>
    </row>
    <row r="39" spans="1:2" x14ac:dyDescent="0.35">
      <c r="A39">
        <v>20</v>
      </c>
      <c r="B39" s="23" t="s">
        <v>30</v>
      </c>
    </row>
    <row r="40" spans="1:2" ht="29" x14ac:dyDescent="0.35">
      <c r="A40">
        <v>21</v>
      </c>
      <c r="B40" s="23" t="s">
        <v>47</v>
      </c>
    </row>
    <row r="41" spans="1:2" ht="43.5" x14ac:dyDescent="0.35">
      <c r="A41">
        <v>22</v>
      </c>
      <c r="B41" s="23" t="s">
        <v>50</v>
      </c>
    </row>
  </sheetData>
  <mergeCells count="11">
    <mergeCell ref="G22:L22"/>
    <mergeCell ref="G1:J1"/>
    <mergeCell ref="G2:J2"/>
    <mergeCell ref="A19:D19"/>
    <mergeCell ref="G20:L20"/>
    <mergeCell ref="G21:L21"/>
    <mergeCell ref="G23:L23"/>
    <mergeCell ref="G24:L24"/>
    <mergeCell ref="G25:L25"/>
    <mergeCell ref="G26:L26"/>
    <mergeCell ref="G27:L2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election activeCell="A16" sqref="A16"/>
    </sheetView>
  </sheetViews>
  <sheetFormatPr defaultRowHeight="14.5" x14ac:dyDescent="0.35"/>
  <cols>
    <col min="1" max="1" width="28.36328125" customWidth="1"/>
    <col min="2" max="2" width="25.36328125" customWidth="1"/>
    <col min="3" max="3" width="12.36328125" customWidth="1"/>
    <col min="4" max="4" width="15.90625" customWidth="1"/>
    <col min="5" max="5" width="15.08984375" customWidth="1"/>
  </cols>
  <sheetData>
    <row r="1" spans="1:5" x14ac:dyDescent="0.35">
      <c r="A1" s="35" t="s">
        <v>69</v>
      </c>
      <c r="C1" t="s">
        <v>62</v>
      </c>
      <c r="D1" t="s">
        <v>63</v>
      </c>
      <c r="E1" t="s">
        <v>64</v>
      </c>
    </row>
    <row r="2" spans="1:5" x14ac:dyDescent="0.35">
      <c r="A2" t="s">
        <v>65</v>
      </c>
      <c r="B2">
        <v>1080</v>
      </c>
      <c r="C2" t="s">
        <v>66</v>
      </c>
    </row>
    <row r="3" spans="1:5" x14ac:dyDescent="0.35">
      <c r="A3" t="s">
        <v>67</v>
      </c>
      <c r="B3">
        <v>1</v>
      </c>
      <c r="C3">
        <v>551</v>
      </c>
      <c r="D3">
        <v>706</v>
      </c>
      <c r="E3">
        <v>278</v>
      </c>
    </row>
    <row r="4" spans="1:5" x14ac:dyDescent="0.35">
      <c r="B4">
        <v>2</v>
      </c>
      <c r="C4">
        <v>450</v>
      </c>
      <c r="D4">
        <v>481</v>
      </c>
      <c r="E4">
        <v>150</v>
      </c>
    </row>
    <row r="5" spans="1:5" x14ac:dyDescent="0.35">
      <c r="B5">
        <v>3</v>
      </c>
      <c r="C5">
        <v>380</v>
      </c>
      <c r="D5">
        <v>232</v>
      </c>
      <c r="E5">
        <v>184</v>
      </c>
    </row>
    <row r="6" spans="1:5" x14ac:dyDescent="0.35">
      <c r="B6">
        <v>4</v>
      </c>
      <c r="C6">
        <v>164</v>
      </c>
      <c r="D6">
        <v>102</v>
      </c>
      <c r="E6">
        <v>102</v>
      </c>
    </row>
    <row r="7" spans="1:5" x14ac:dyDescent="0.35">
      <c r="B7">
        <v>5</v>
      </c>
      <c r="C7">
        <v>120</v>
      </c>
      <c r="D7">
        <v>49</v>
      </c>
      <c r="E7">
        <v>32</v>
      </c>
    </row>
    <row r="8" spans="1:5" x14ac:dyDescent="0.35">
      <c r="B8">
        <v>6</v>
      </c>
      <c r="C8">
        <v>79</v>
      </c>
      <c r="E8">
        <v>35</v>
      </c>
    </row>
    <row r="11" spans="1:5" x14ac:dyDescent="0.35">
      <c r="B11" t="s">
        <v>68</v>
      </c>
      <c r="C11" s="46">
        <f>SUM(C3:C8)</f>
        <v>1744</v>
      </c>
      <c r="D11" s="46">
        <f>SUM(D3:D8)</f>
        <v>1570</v>
      </c>
      <c r="E11">
        <f>SUM(E3:E8)</f>
        <v>781</v>
      </c>
    </row>
    <row r="12" spans="1:5" x14ac:dyDescent="0.35">
      <c r="C12" s="46"/>
      <c r="D12" s="46"/>
    </row>
    <row r="13" spans="1:5" x14ac:dyDescent="0.35">
      <c r="B13" t="s">
        <v>67</v>
      </c>
      <c r="C13" s="46">
        <f>SUM(C11+E11)</f>
        <v>2525</v>
      </c>
      <c r="D13" s="46"/>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1"/>
  <sheetViews>
    <sheetView zoomScale="110" zoomScaleNormal="110" workbookViewId="0">
      <selection activeCell="B2" sqref="B2"/>
    </sheetView>
  </sheetViews>
  <sheetFormatPr defaultRowHeight="14.5" x14ac:dyDescent="0.35"/>
  <cols>
    <col min="1" max="1" width="10.453125" bestFit="1" customWidth="1"/>
  </cols>
  <sheetData>
    <row r="1" spans="1:2" x14ac:dyDescent="0.35">
      <c r="A1" t="s">
        <v>96</v>
      </c>
      <c r="B1" s="3">
        <v>7358.1386000000002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20"/>
  <sheetViews>
    <sheetView workbookViewId="0">
      <selection activeCell="B2" sqref="B2:B5"/>
    </sheetView>
  </sheetViews>
  <sheetFormatPr defaultRowHeight="14.5" x14ac:dyDescent="0.35"/>
  <cols>
    <col min="1" max="1" width="18.1796875" bestFit="1" customWidth="1"/>
  </cols>
  <sheetData>
    <row r="1" spans="1:4" x14ac:dyDescent="0.35">
      <c r="A1" s="56" t="s">
        <v>72</v>
      </c>
    </row>
    <row r="2" spans="1:4" x14ac:dyDescent="0.35">
      <c r="A2" s="49" t="s">
        <v>73</v>
      </c>
      <c r="B2" s="113">
        <f>2523.323*2/3.2808^2</f>
        <v>468.86015781354968</v>
      </c>
    </row>
    <row r="3" spans="1:4" x14ac:dyDescent="0.35">
      <c r="A3" s="49" t="s">
        <v>74</v>
      </c>
      <c r="B3" s="113">
        <f>6995.635/3.2808^2</f>
        <v>649.93156446994533</v>
      </c>
    </row>
    <row r="4" spans="1:4" x14ac:dyDescent="0.35">
      <c r="A4" s="49" t="s">
        <v>75</v>
      </c>
      <c r="B4" s="115">
        <f>7889.082*2/3.2808^2</f>
        <v>1465.8750510830498</v>
      </c>
    </row>
    <row r="5" spans="1:4" x14ac:dyDescent="0.35">
      <c r="B5" s="113">
        <f>SUM(B2:B4)</f>
        <v>2584.6667733665445</v>
      </c>
      <c r="D5" s="50"/>
    </row>
    <row r="6" spans="1:4" x14ac:dyDescent="0.35">
      <c r="B6" s="50"/>
    </row>
    <row r="7" spans="1:4" x14ac:dyDescent="0.35">
      <c r="A7" s="49" t="s">
        <v>76</v>
      </c>
      <c r="B7" s="52">
        <f>(938.624+1239.304)/3.2808^2</f>
        <v>202.34105300560978</v>
      </c>
    </row>
    <row r="9" spans="1:4" x14ac:dyDescent="0.35">
      <c r="A9" s="73" t="s">
        <v>97</v>
      </c>
    </row>
    <row r="10" spans="1:4" x14ac:dyDescent="0.35">
      <c r="A10" s="49" t="s">
        <v>83</v>
      </c>
    </row>
    <row r="11" spans="1:4" x14ac:dyDescent="0.35">
      <c r="A11">
        <v>1</v>
      </c>
      <c r="B11" s="50">
        <f>1084.194/3.2808^2</f>
        <v>100.72736822446109</v>
      </c>
    </row>
    <row r="12" spans="1:4" x14ac:dyDescent="0.35">
      <c r="A12">
        <v>2</v>
      </c>
      <c r="B12" s="50">
        <f>167.73*2/3.2808^2</f>
        <v>31.166011751197402</v>
      </c>
    </row>
    <row r="13" spans="1:4" x14ac:dyDescent="0.35">
      <c r="A13">
        <v>3</v>
      </c>
      <c r="B13" s="50">
        <f>379.944/3.2808^2</f>
        <v>35.298811091626263</v>
      </c>
    </row>
    <row r="14" spans="1:4" x14ac:dyDescent="0.35">
      <c r="A14" s="49" t="s">
        <v>84</v>
      </c>
      <c r="B14" s="50">
        <f>2174.991/3.2808^2</f>
        <v>202.06819014114527</v>
      </c>
    </row>
    <row r="15" spans="1:4" x14ac:dyDescent="0.35">
      <c r="A15" s="49" t="s">
        <v>89</v>
      </c>
      <c r="B15" s="50">
        <f>1081.514/3.2808^2</f>
        <v>100.47838202195345</v>
      </c>
    </row>
    <row r="16" spans="1:4" x14ac:dyDescent="0.35">
      <c r="A16" s="49" t="s">
        <v>75</v>
      </c>
      <c r="B16" s="50">
        <f>3012.307/3.2808^2</f>
        <v>279.85928384968162</v>
      </c>
    </row>
    <row r="17" spans="1:2" x14ac:dyDescent="0.35">
      <c r="A17" s="49" t="s">
        <v>91</v>
      </c>
      <c r="B17" s="51">
        <f xml:space="preserve"> 430.13/3.2808^2</f>
        <v>39.961356449479936</v>
      </c>
    </row>
    <row r="18" spans="1:2" x14ac:dyDescent="0.35">
      <c r="B18" s="50">
        <f>SUM(B11:B17)</f>
        <v>789.55940352954497</v>
      </c>
    </row>
    <row r="20" spans="1:2" x14ac:dyDescent="0.35">
      <c r="B20" s="50">
        <f>B5+B18</f>
        <v>3374.2261768960893</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44"/>
  <sheetViews>
    <sheetView zoomScale="130" zoomScaleNormal="130" workbookViewId="0">
      <selection activeCell="H45" sqref="H45"/>
    </sheetView>
  </sheetViews>
  <sheetFormatPr defaultRowHeight="14.5" x14ac:dyDescent="0.35"/>
  <cols>
    <col min="1" max="1" width="11.08984375" bestFit="1" customWidth="1"/>
    <col min="7" max="7" width="1.81640625" style="58" bestFit="1" customWidth="1"/>
  </cols>
  <sheetData>
    <row r="1" spans="1:8" x14ac:dyDescent="0.35">
      <c r="A1" s="56" t="s">
        <v>75</v>
      </c>
      <c r="B1" s="58" t="s">
        <v>108</v>
      </c>
      <c r="C1" s="58" t="s">
        <v>109</v>
      </c>
      <c r="D1" s="58" t="s">
        <v>110</v>
      </c>
      <c r="E1" s="58" t="s">
        <v>111</v>
      </c>
      <c r="F1" s="58" t="s">
        <v>112</v>
      </c>
      <c r="G1" s="58" t="s">
        <v>107</v>
      </c>
    </row>
    <row r="2" spans="1:8" x14ac:dyDescent="0.35">
      <c r="A2">
        <v>1</v>
      </c>
      <c r="B2">
        <v>62.34</v>
      </c>
      <c r="C2">
        <v>60.65</v>
      </c>
      <c r="D2">
        <v>10</v>
      </c>
      <c r="E2" s="50">
        <f>(B2+C2)*D2/2</f>
        <v>614.95000000000005</v>
      </c>
      <c r="F2" s="50">
        <f>E2/3.2808^2</f>
        <v>57.132113892561989</v>
      </c>
      <c r="G2" s="58">
        <v>2</v>
      </c>
      <c r="H2" s="50">
        <f>F2*G2</f>
        <v>114.26422778512398</v>
      </c>
    </row>
    <row r="3" spans="1:8" x14ac:dyDescent="0.35">
      <c r="A3">
        <v>2</v>
      </c>
      <c r="B3">
        <v>88.5</v>
      </c>
      <c r="C3">
        <v>85</v>
      </c>
      <c r="D3">
        <v>10</v>
      </c>
      <c r="E3" s="50">
        <f t="shared" ref="E3:E5" si="0">(B3+C3)*D3/2</f>
        <v>867.5</v>
      </c>
      <c r="F3" s="50">
        <f t="shared" ref="F3:F5" si="1">E3/3.2808^2</f>
        <v>80.595347266928243</v>
      </c>
      <c r="G3" s="58">
        <v>2</v>
      </c>
      <c r="H3" s="50">
        <f t="shared" ref="H3:H5" si="2">F3*G3</f>
        <v>161.19069453385649</v>
      </c>
    </row>
    <row r="4" spans="1:8" x14ac:dyDescent="0.35">
      <c r="A4">
        <v>3</v>
      </c>
      <c r="B4">
        <v>66.900000000000006</v>
      </c>
      <c r="C4">
        <v>60</v>
      </c>
      <c r="D4">
        <v>20</v>
      </c>
      <c r="E4" s="50">
        <f t="shared" si="0"/>
        <v>1269</v>
      </c>
      <c r="F4" s="50">
        <f t="shared" si="1"/>
        <v>117.89682499335093</v>
      </c>
      <c r="G4" s="58">
        <v>1</v>
      </c>
      <c r="H4" s="50">
        <f t="shared" si="2"/>
        <v>117.89682499335093</v>
      </c>
    </row>
    <row r="5" spans="1:8" x14ac:dyDescent="0.35">
      <c r="A5">
        <v>4</v>
      </c>
      <c r="B5">
        <v>15.9</v>
      </c>
      <c r="C5">
        <v>15.9</v>
      </c>
      <c r="D5">
        <v>10</v>
      </c>
      <c r="E5" s="50">
        <f t="shared" si="0"/>
        <v>159</v>
      </c>
      <c r="F5" s="50">
        <f t="shared" si="1"/>
        <v>14.771942611460046</v>
      </c>
      <c r="G5" s="58">
        <v>2</v>
      </c>
      <c r="H5" s="51">
        <f t="shared" si="2"/>
        <v>29.543885222920093</v>
      </c>
    </row>
    <row r="6" spans="1:8" x14ac:dyDescent="0.35">
      <c r="H6" s="50">
        <f>SUM(H2:H5)</f>
        <v>422.89563253525154</v>
      </c>
    </row>
    <row r="8" spans="1:8" x14ac:dyDescent="0.35">
      <c r="A8" s="55" t="s">
        <v>91</v>
      </c>
    </row>
    <row r="9" spans="1:8" x14ac:dyDescent="0.35">
      <c r="A9">
        <v>1</v>
      </c>
      <c r="B9">
        <v>17.100000000000001</v>
      </c>
      <c r="C9">
        <v>17.100000000000001</v>
      </c>
      <c r="D9">
        <v>10</v>
      </c>
      <c r="E9" s="78">
        <f t="shared" ref="E9:E10" si="3">(B9+C9)*D9/2</f>
        <v>171</v>
      </c>
      <c r="F9" s="78">
        <f t="shared" ref="F9:F10" si="4">E9/3.2808^2</f>
        <v>15.886806204777786</v>
      </c>
      <c r="G9" s="47">
        <v>2</v>
      </c>
      <c r="H9" s="78">
        <f t="shared" ref="H9:H10" si="5">F9*G9</f>
        <v>31.773612409555572</v>
      </c>
    </row>
    <row r="10" spans="1:8" x14ac:dyDescent="0.35">
      <c r="A10">
        <v>2</v>
      </c>
      <c r="B10">
        <v>28.5</v>
      </c>
      <c r="C10">
        <v>25</v>
      </c>
      <c r="D10">
        <v>10</v>
      </c>
      <c r="E10" s="78">
        <f t="shared" si="3"/>
        <v>267.5</v>
      </c>
      <c r="F10" s="78">
        <f t="shared" si="4"/>
        <v>24.852167601041273</v>
      </c>
      <c r="G10" s="47">
        <v>1</v>
      </c>
      <c r="H10" s="51">
        <f t="shared" si="5"/>
        <v>24.852167601041273</v>
      </c>
    </row>
    <row r="11" spans="1:8" x14ac:dyDescent="0.35">
      <c r="H11" s="50">
        <f>SUM(H9:H10)</f>
        <v>56.625780010596841</v>
      </c>
    </row>
    <row r="13" spans="1:8" x14ac:dyDescent="0.35">
      <c r="A13" s="79" t="s">
        <v>89</v>
      </c>
    </row>
    <row r="14" spans="1:8" x14ac:dyDescent="0.35">
      <c r="A14">
        <v>1</v>
      </c>
      <c r="B14">
        <v>57.1</v>
      </c>
      <c r="C14">
        <v>50.2</v>
      </c>
      <c r="D14">
        <v>20</v>
      </c>
      <c r="E14" s="78">
        <f t="shared" ref="E14:E16" si="6">(B14+C14)*D14/2</f>
        <v>1073</v>
      </c>
      <c r="F14" s="78">
        <f t="shared" ref="F14:F16" si="7">E14/3.2808^2</f>
        <v>99.687386302494531</v>
      </c>
      <c r="G14" s="47">
        <v>2</v>
      </c>
      <c r="H14" s="78">
        <f t="shared" ref="H14:H16" si="8">F14*G14</f>
        <v>199.37477260498906</v>
      </c>
    </row>
    <row r="15" spans="1:8" x14ac:dyDescent="0.35">
      <c r="A15">
        <v>2</v>
      </c>
      <c r="B15">
        <v>25</v>
      </c>
      <c r="C15">
        <v>21.5</v>
      </c>
      <c r="D15">
        <v>10</v>
      </c>
      <c r="E15" s="78">
        <f t="shared" si="6"/>
        <v>232.5</v>
      </c>
      <c r="F15" s="78">
        <f t="shared" si="7"/>
        <v>21.600482120531201</v>
      </c>
      <c r="G15" s="47">
        <v>1</v>
      </c>
      <c r="H15" s="78">
        <f t="shared" si="8"/>
        <v>21.600482120531201</v>
      </c>
    </row>
    <row r="16" spans="1:8" x14ac:dyDescent="0.35">
      <c r="A16">
        <v>3</v>
      </c>
      <c r="B16">
        <v>32.1</v>
      </c>
      <c r="C16">
        <v>21.5</v>
      </c>
      <c r="D16">
        <v>30</v>
      </c>
      <c r="E16" s="78">
        <f t="shared" si="6"/>
        <v>804</v>
      </c>
      <c r="F16" s="78">
        <f t="shared" si="7"/>
        <v>74.695860752288539</v>
      </c>
      <c r="G16" s="47">
        <v>1</v>
      </c>
      <c r="H16" s="51">
        <f t="shared" si="8"/>
        <v>74.695860752288539</v>
      </c>
    </row>
    <row r="17" spans="1:8" x14ac:dyDescent="0.35">
      <c r="H17" s="50">
        <f>SUM(H14:H16)</f>
        <v>295.67111547780883</v>
      </c>
    </row>
    <row r="19" spans="1:8" x14ac:dyDescent="0.35">
      <c r="A19" s="75" t="s">
        <v>84</v>
      </c>
    </row>
    <row r="20" spans="1:8" x14ac:dyDescent="0.35">
      <c r="A20">
        <v>1</v>
      </c>
      <c r="B20">
        <v>50.8</v>
      </c>
      <c r="C20">
        <v>50.8</v>
      </c>
      <c r="D20">
        <v>20</v>
      </c>
      <c r="E20" s="78">
        <f t="shared" ref="E20:E21" si="9">(B20+C20)*D20/2</f>
        <v>1016</v>
      </c>
      <c r="F20" s="78">
        <f t="shared" ref="F20:F21" si="10">E20/3.2808^2</f>
        <v>94.391784234235274</v>
      </c>
      <c r="G20" s="47">
        <v>2</v>
      </c>
      <c r="H20" s="78">
        <f t="shared" ref="H20:H21" si="11">F20*G20</f>
        <v>188.78356846847055</v>
      </c>
    </row>
    <row r="21" spans="1:8" x14ac:dyDescent="0.35">
      <c r="A21">
        <v>2</v>
      </c>
      <c r="B21">
        <v>63.6</v>
      </c>
      <c r="C21">
        <v>54.9</v>
      </c>
      <c r="D21">
        <v>20</v>
      </c>
      <c r="E21" s="78">
        <f t="shared" si="9"/>
        <v>1185</v>
      </c>
      <c r="F21" s="78">
        <f t="shared" si="10"/>
        <v>110.09277984012677</v>
      </c>
      <c r="G21" s="47">
        <v>1</v>
      </c>
      <c r="H21" s="51">
        <f t="shared" si="11"/>
        <v>110.09277984012677</v>
      </c>
    </row>
    <row r="22" spans="1:8" x14ac:dyDescent="0.35">
      <c r="H22" s="50">
        <f>SUM(H20:H21)</f>
        <v>298.8763483085973</v>
      </c>
    </row>
    <row r="24" spans="1:8" x14ac:dyDescent="0.35">
      <c r="A24" s="74" t="s">
        <v>113</v>
      </c>
    </row>
    <row r="25" spans="1:8" x14ac:dyDescent="0.35">
      <c r="A25">
        <v>1</v>
      </c>
      <c r="B25">
        <v>32</v>
      </c>
      <c r="C25">
        <v>25.9</v>
      </c>
      <c r="D25">
        <v>40.6</v>
      </c>
      <c r="E25" s="78">
        <f t="shared" ref="E25:E29" si="12">(B25+C25)*D25/2</f>
        <v>1175.3700000000001</v>
      </c>
      <c r="F25" s="78">
        <f t="shared" ref="F25:F29" si="13">E25/3.2808^2</f>
        <v>109.19810180648929</v>
      </c>
      <c r="G25" s="47">
        <v>1</v>
      </c>
      <c r="H25" s="78">
        <f t="shared" ref="H25:H29" si="14">F25*G25</f>
        <v>109.19810180648929</v>
      </c>
    </row>
    <row r="26" spans="1:8" x14ac:dyDescent="0.35">
      <c r="A26">
        <v>2</v>
      </c>
      <c r="B26">
        <v>22.4</v>
      </c>
      <c r="C26">
        <v>16.600000000000001</v>
      </c>
      <c r="D26">
        <v>40.6</v>
      </c>
      <c r="E26" s="78">
        <f t="shared" si="12"/>
        <v>791.7</v>
      </c>
      <c r="F26" s="78">
        <f t="shared" si="13"/>
        <v>73.553125569137862</v>
      </c>
      <c r="G26" s="47">
        <v>2</v>
      </c>
      <c r="H26" s="78">
        <f t="shared" si="14"/>
        <v>147.10625113827572</v>
      </c>
    </row>
    <row r="27" spans="1:8" x14ac:dyDescent="0.35">
      <c r="A27">
        <v>3</v>
      </c>
      <c r="B27">
        <v>31.4</v>
      </c>
      <c r="C27">
        <v>25.9</v>
      </c>
      <c r="D27">
        <v>40.6</v>
      </c>
      <c r="E27" s="78">
        <f t="shared" si="12"/>
        <v>1163.19</v>
      </c>
      <c r="F27" s="78">
        <f t="shared" si="13"/>
        <v>108.06651525927178</v>
      </c>
      <c r="G27" s="47">
        <v>2</v>
      </c>
      <c r="H27" s="78">
        <f t="shared" si="14"/>
        <v>216.13303051854356</v>
      </c>
    </row>
    <row r="28" spans="1:8" x14ac:dyDescent="0.35">
      <c r="A28">
        <v>4</v>
      </c>
      <c r="B28">
        <v>19.600000000000001</v>
      </c>
      <c r="C28">
        <f>C26</f>
        <v>16.600000000000001</v>
      </c>
      <c r="D28">
        <v>20</v>
      </c>
      <c r="E28" s="78">
        <f t="shared" si="12"/>
        <v>362</v>
      </c>
      <c r="F28" s="78">
        <f t="shared" si="13"/>
        <v>33.631718398418471</v>
      </c>
      <c r="G28" s="47">
        <v>2</v>
      </c>
      <c r="H28" s="78">
        <f t="shared" si="14"/>
        <v>67.263436796836942</v>
      </c>
    </row>
    <row r="29" spans="1:8" x14ac:dyDescent="0.35">
      <c r="A29">
        <v>5</v>
      </c>
      <c r="B29">
        <v>28.9</v>
      </c>
      <c r="C29">
        <f>C25</f>
        <v>25.9</v>
      </c>
      <c r="D29">
        <v>20</v>
      </c>
      <c r="E29" s="78">
        <f t="shared" si="12"/>
        <v>548</v>
      </c>
      <c r="F29" s="78">
        <f t="shared" si="13"/>
        <v>50.912104094843428</v>
      </c>
      <c r="G29" s="47">
        <v>1</v>
      </c>
      <c r="H29" s="51">
        <f t="shared" si="14"/>
        <v>50.912104094843428</v>
      </c>
    </row>
    <row r="30" spans="1:8" x14ac:dyDescent="0.35">
      <c r="H30" s="50">
        <f>SUM(H25:H29)</f>
        <v>590.61292435498899</v>
      </c>
    </row>
    <row r="32" spans="1:8" x14ac:dyDescent="0.35">
      <c r="A32" s="81" t="s">
        <v>114</v>
      </c>
    </row>
    <row r="33" spans="1:8" x14ac:dyDescent="0.35">
      <c r="A33">
        <v>1</v>
      </c>
      <c r="B33">
        <v>49.7</v>
      </c>
      <c r="C33">
        <v>46.2</v>
      </c>
      <c r="D33">
        <v>10</v>
      </c>
      <c r="E33" s="78">
        <f t="shared" ref="E33:E36" si="15">(B33+C33)*D33/2</f>
        <v>479.5</v>
      </c>
      <c r="F33" s="78">
        <f t="shared" ref="F33:F36" si="16">E33/3.2808^2</f>
        <v>44.548091082988002</v>
      </c>
      <c r="G33" s="47">
        <v>1</v>
      </c>
      <c r="H33" s="78">
        <f t="shared" ref="H33:H36" si="17">F33*G33</f>
        <v>44.548091082988002</v>
      </c>
    </row>
    <row r="34" spans="1:8" x14ac:dyDescent="0.35">
      <c r="A34">
        <v>2</v>
      </c>
      <c r="B34">
        <v>10.5</v>
      </c>
      <c r="C34">
        <v>12.8</v>
      </c>
      <c r="D34">
        <v>10</v>
      </c>
      <c r="E34" s="78">
        <f t="shared" si="15"/>
        <v>116.5</v>
      </c>
      <c r="F34" s="78">
        <f t="shared" si="16"/>
        <v>10.823467385126387</v>
      </c>
      <c r="G34" s="47">
        <v>2</v>
      </c>
      <c r="H34" s="78">
        <f t="shared" si="17"/>
        <v>21.646934770252773</v>
      </c>
    </row>
    <row r="35" spans="1:8" x14ac:dyDescent="0.35">
      <c r="A35">
        <v>3</v>
      </c>
      <c r="B35">
        <v>15.3</v>
      </c>
      <c r="C35">
        <f>C28</f>
        <v>16.600000000000001</v>
      </c>
      <c r="D35">
        <v>10</v>
      </c>
      <c r="E35" s="78">
        <f t="shared" si="15"/>
        <v>159.5</v>
      </c>
      <c r="F35" s="78">
        <f t="shared" si="16"/>
        <v>14.818395261181619</v>
      </c>
      <c r="G35" s="47">
        <v>2</v>
      </c>
      <c r="H35" s="78">
        <f t="shared" si="17"/>
        <v>29.636790522363238</v>
      </c>
    </row>
    <row r="36" spans="1:8" x14ac:dyDescent="0.35">
      <c r="A36">
        <v>4</v>
      </c>
      <c r="B36">
        <v>26.2</v>
      </c>
      <c r="C36">
        <v>24.7</v>
      </c>
      <c r="D36">
        <v>10</v>
      </c>
      <c r="E36" s="78">
        <f t="shared" si="15"/>
        <v>254.5</v>
      </c>
      <c r="F36" s="78">
        <f t="shared" si="16"/>
        <v>23.644398708280388</v>
      </c>
      <c r="G36" s="47">
        <v>1</v>
      </c>
      <c r="H36" s="51">
        <f t="shared" si="17"/>
        <v>23.644398708280388</v>
      </c>
    </row>
    <row r="37" spans="1:8" x14ac:dyDescent="0.35">
      <c r="H37" s="50">
        <f>SUM(H33:H36)</f>
        <v>119.47621508388441</v>
      </c>
    </row>
    <row r="39" spans="1:8" x14ac:dyDescent="0.35">
      <c r="A39" s="80" t="s">
        <v>115</v>
      </c>
    </row>
    <row r="40" spans="1:8" x14ac:dyDescent="0.35">
      <c r="A40">
        <v>1</v>
      </c>
      <c r="B40">
        <f>C36</f>
        <v>24.7</v>
      </c>
      <c r="C40">
        <v>21.3</v>
      </c>
      <c r="D40">
        <v>10</v>
      </c>
      <c r="E40" s="78">
        <f t="shared" ref="E40:E41" si="18">(B40+C40)*D40/2</f>
        <v>230</v>
      </c>
      <c r="F40" s="78">
        <f t="shared" ref="F40:F41" si="19">E40/3.2808^2</f>
        <v>21.368218871923339</v>
      </c>
      <c r="G40" s="47">
        <v>2</v>
      </c>
      <c r="H40" s="78">
        <f t="shared" ref="H40:H41" si="20">F40*G40</f>
        <v>42.736437743846679</v>
      </c>
    </row>
    <row r="41" spans="1:8" x14ac:dyDescent="0.35">
      <c r="A41">
        <v>2</v>
      </c>
      <c r="B41">
        <v>20.5</v>
      </c>
      <c r="C41">
        <v>17.7</v>
      </c>
      <c r="D41">
        <v>10</v>
      </c>
      <c r="E41" s="78">
        <f t="shared" si="18"/>
        <v>191</v>
      </c>
      <c r="F41" s="78">
        <f t="shared" si="19"/>
        <v>17.744912193640687</v>
      </c>
      <c r="G41" s="47">
        <v>2</v>
      </c>
      <c r="H41" s="51">
        <f t="shared" si="20"/>
        <v>35.489824387281374</v>
      </c>
    </row>
    <row r="42" spans="1:8" x14ac:dyDescent="0.35">
      <c r="H42" s="50">
        <f>SUM(H40:H41)</f>
        <v>78.226262131128053</v>
      </c>
    </row>
    <row r="44" spans="1:8" x14ac:dyDescent="0.35">
      <c r="H44" s="50">
        <f>H42+H37+H30+H22+H17+H11+H6</f>
        <v>1862.3842779022559</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5"/>
  <sheetViews>
    <sheetView topLeftCell="A5" workbookViewId="0">
      <selection activeCell="B4" sqref="B4:D22"/>
    </sheetView>
  </sheetViews>
  <sheetFormatPr defaultRowHeight="14.5" x14ac:dyDescent="0.35"/>
  <cols>
    <col min="1" max="1" width="18.1796875" bestFit="1" customWidth="1"/>
    <col min="3" max="3" width="2.7265625" bestFit="1" customWidth="1"/>
  </cols>
  <sheetData>
    <row r="1" spans="1:4" x14ac:dyDescent="0.35">
      <c r="B1" t="s">
        <v>77</v>
      </c>
      <c r="D1" t="s">
        <v>78</v>
      </c>
    </row>
    <row r="2" spans="1:4" x14ac:dyDescent="0.35">
      <c r="D2" t="s">
        <v>79</v>
      </c>
    </row>
    <row r="4" spans="1:4" x14ac:dyDescent="0.35">
      <c r="A4" s="75" t="s">
        <v>86</v>
      </c>
      <c r="B4" s="113">
        <f>5208.559*2/3.2808^2</f>
        <v>967.80546712457522</v>
      </c>
      <c r="C4" s="114"/>
      <c r="D4" s="114"/>
    </row>
    <row r="5" spans="1:4" x14ac:dyDescent="0.35">
      <c r="B5" s="114"/>
      <c r="C5" s="114"/>
      <c r="D5" s="114"/>
    </row>
    <row r="6" spans="1:4" x14ac:dyDescent="0.35">
      <c r="A6" s="76" t="s">
        <v>85</v>
      </c>
      <c r="B6" s="114"/>
      <c r="C6" s="114"/>
      <c r="D6" s="114"/>
    </row>
    <row r="7" spans="1:4" x14ac:dyDescent="0.35">
      <c r="A7" s="49" t="s">
        <v>83</v>
      </c>
      <c r="B7" s="113">
        <f>728.281*2/3.2808^2</f>
        <v>135.32232876750609</v>
      </c>
      <c r="C7" s="114"/>
      <c r="D7" s="114"/>
    </row>
    <row r="8" spans="1:4" x14ac:dyDescent="0.35">
      <c r="A8" s="49" t="s">
        <v>84</v>
      </c>
      <c r="B8" s="113">
        <f>5789.747/3.2808^2</f>
        <v>537.89817873505012</v>
      </c>
      <c r="C8" s="114"/>
      <c r="D8" s="114"/>
    </row>
    <row r="9" spans="1:4" x14ac:dyDescent="0.35">
      <c r="A9" s="49" t="s">
        <v>75</v>
      </c>
      <c r="B9" s="115"/>
      <c r="C9" s="114"/>
      <c r="D9" s="114"/>
    </row>
    <row r="10" spans="1:4" x14ac:dyDescent="0.35">
      <c r="A10" s="49"/>
      <c r="B10" s="113">
        <f>SUM(B7:B9)</f>
        <v>673.22050750255619</v>
      </c>
      <c r="C10" s="114"/>
      <c r="D10" s="113">
        <f>B10</f>
        <v>673.22050750255619</v>
      </c>
    </row>
    <row r="11" spans="1:4" x14ac:dyDescent="0.35">
      <c r="B11" s="114"/>
      <c r="C11" s="114"/>
      <c r="D11" s="114"/>
    </row>
    <row r="12" spans="1:4" x14ac:dyDescent="0.35">
      <c r="A12" s="76" t="s">
        <v>82</v>
      </c>
      <c r="B12" s="113"/>
      <c r="C12" s="114"/>
      <c r="D12" s="114"/>
    </row>
    <row r="13" spans="1:4" x14ac:dyDescent="0.35">
      <c r="A13" s="49" t="s">
        <v>83</v>
      </c>
      <c r="B13" s="113">
        <f>1702.919*2/3.2808^2</f>
        <v>316.42039924484192</v>
      </c>
      <c r="C13" s="114"/>
      <c r="D13" s="113"/>
    </row>
    <row r="14" spans="1:4" x14ac:dyDescent="0.35">
      <c r="A14" s="49" t="s">
        <v>84</v>
      </c>
      <c r="B14" s="113">
        <f>6239.267/3.2808^2</f>
        <v>579.66096894073269</v>
      </c>
      <c r="C14" s="114"/>
      <c r="D14" s="113"/>
    </row>
    <row r="15" spans="1:4" x14ac:dyDescent="0.35">
      <c r="A15" s="49" t="s">
        <v>75</v>
      </c>
      <c r="B15" s="115">
        <f>3545.548*2/3.2808^2</f>
        <v>658.80039726008738</v>
      </c>
      <c r="C15" s="114"/>
      <c r="D15" s="113"/>
    </row>
    <row r="16" spans="1:4" x14ac:dyDescent="0.35">
      <c r="A16" s="49"/>
      <c r="B16" s="113">
        <f>SUM(B13:B15)</f>
        <v>1554.881765445662</v>
      </c>
      <c r="C16" s="114"/>
      <c r="D16" s="113">
        <f>B16</f>
        <v>1554.881765445662</v>
      </c>
    </row>
    <row r="17" spans="1:6" x14ac:dyDescent="0.35">
      <c r="A17" s="49"/>
      <c r="B17" s="113"/>
      <c r="C17" s="114"/>
      <c r="D17" s="113"/>
    </row>
    <row r="18" spans="1:6" x14ac:dyDescent="0.35">
      <c r="A18" s="76" t="s">
        <v>81</v>
      </c>
      <c r="B18" s="113">
        <f>16034.111*2/3.2808^2</f>
        <v>2979.3077675192485</v>
      </c>
      <c r="C18" s="114"/>
      <c r="D18" s="113">
        <f>B18</f>
        <v>2979.3077675192485</v>
      </c>
    </row>
    <row r="19" spans="1:6" x14ac:dyDescent="0.35">
      <c r="A19" s="49"/>
      <c r="B19" s="113"/>
      <c r="C19" s="114"/>
      <c r="D19" s="113"/>
    </row>
    <row r="20" spans="1:6" x14ac:dyDescent="0.35">
      <c r="A20" s="76" t="s">
        <v>80</v>
      </c>
      <c r="B20" s="113">
        <f>10195.156*2/3.2808^2</f>
        <v>1894.3680420991518</v>
      </c>
      <c r="C20" s="114"/>
      <c r="D20" s="113">
        <f>B20</f>
        <v>1894.3680420991518</v>
      </c>
    </row>
    <row r="21" spans="1:6" x14ac:dyDescent="0.35">
      <c r="A21" s="49"/>
      <c r="B21" s="113"/>
      <c r="C21" s="114"/>
      <c r="D21" s="113"/>
    </row>
    <row r="22" spans="1:6" x14ac:dyDescent="0.35">
      <c r="A22" s="77" t="s">
        <v>72</v>
      </c>
      <c r="B22" s="114"/>
      <c r="C22" s="114"/>
      <c r="D22" s="113">
        <f>16265.18*2/3.2808^2</f>
        <v>3022.2428367933048</v>
      </c>
    </row>
    <row r="23" spans="1:6" x14ac:dyDescent="0.35">
      <c r="A23" s="49"/>
      <c r="B23" s="50"/>
      <c r="D23" s="50"/>
    </row>
    <row r="24" spans="1:6" x14ac:dyDescent="0.35">
      <c r="B24" s="50">
        <f>B20+B18+B16+B10+B4</f>
        <v>8069.5835496911932</v>
      </c>
      <c r="C24" s="50"/>
      <c r="D24" s="50">
        <f>D22+D20+D18+D16+D10</f>
        <v>10124.020919359922</v>
      </c>
      <c r="F24" s="50">
        <f>SUM(B24:D24)</f>
        <v>18193.604469051115</v>
      </c>
    </row>
    <row r="25" spans="1:6" x14ac:dyDescent="0.35">
      <c r="A25" s="49"/>
      <c r="B25" s="50"/>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1"/>
  <sheetViews>
    <sheetView topLeftCell="A14" zoomScale="120" zoomScaleNormal="120" workbookViewId="0">
      <selection activeCell="P12" sqref="P12"/>
    </sheetView>
  </sheetViews>
  <sheetFormatPr defaultRowHeight="14.5" x14ac:dyDescent="0.35"/>
  <sheetData>
    <row r="1" spans="1:4" x14ac:dyDescent="0.35">
      <c r="A1" t="s">
        <v>87</v>
      </c>
      <c r="B1" t="s">
        <v>77</v>
      </c>
      <c r="D1" t="s">
        <v>78</v>
      </c>
    </row>
    <row r="2" spans="1:4" x14ac:dyDescent="0.35">
      <c r="D2" t="s">
        <v>79</v>
      </c>
    </row>
    <row r="3" spans="1:4" x14ac:dyDescent="0.35">
      <c r="A3">
        <v>7</v>
      </c>
      <c r="D3" s="50">
        <f>379.944/3.2808^2</f>
        <v>35.298811091626263</v>
      </c>
    </row>
    <row r="4" spans="1:4" x14ac:dyDescent="0.35">
      <c r="A4">
        <v>6</v>
      </c>
      <c r="B4" s="50">
        <f>527.829/3.2808^2</f>
        <v>49.03811129977575</v>
      </c>
      <c r="D4" s="50">
        <f>167.73*2/3.2808^2+B4</f>
        <v>80.204123050973152</v>
      </c>
    </row>
    <row r="5" spans="1:4" x14ac:dyDescent="0.35">
      <c r="A5">
        <v>5</v>
      </c>
      <c r="B5" s="50">
        <f>1093.572/3.2808^2</f>
        <v>101.5986341226389</v>
      </c>
      <c r="D5" s="50">
        <f>1084.194*2/3.2808^2</f>
        <v>201.45473644892218</v>
      </c>
    </row>
    <row r="6" spans="1:4" x14ac:dyDescent="0.35">
      <c r="A6">
        <v>4</v>
      </c>
      <c r="B6" s="50">
        <f>2486.257/3.2808^2</f>
        <v>230.98645107761524</v>
      </c>
      <c r="D6" s="50">
        <f t="shared" ref="D6:D8" si="0">B6</f>
        <v>230.98645107761524</v>
      </c>
    </row>
    <row r="7" spans="1:4" x14ac:dyDescent="0.35">
      <c r="A7">
        <v>3</v>
      </c>
      <c r="B7" s="50">
        <f>2815.521/3.2808^2</f>
        <v>261.57682159346291</v>
      </c>
      <c r="D7" s="50">
        <f t="shared" si="0"/>
        <v>261.57682159346291</v>
      </c>
    </row>
    <row r="8" spans="1:4" x14ac:dyDescent="0.35">
      <c r="A8">
        <v>2</v>
      </c>
      <c r="B8" s="50">
        <f>3167.199/3.2808^2</f>
        <v>294.24957149102926</v>
      </c>
      <c r="D8" s="50">
        <f t="shared" si="0"/>
        <v>294.24957149102926</v>
      </c>
    </row>
    <row r="9" spans="1:4" x14ac:dyDescent="0.35">
      <c r="A9">
        <v>1</v>
      </c>
      <c r="B9" s="51">
        <f>3520.464/3.2808^2</f>
        <v>327.06976209881185</v>
      </c>
      <c r="D9" s="51"/>
    </row>
    <row r="10" spans="1:4" x14ac:dyDescent="0.35">
      <c r="B10" s="50">
        <f>SUM(B4:B9)</f>
        <v>1264.519351683334</v>
      </c>
      <c r="D10" s="50">
        <f>SUM(D3:D9)</f>
        <v>1103.770514753629</v>
      </c>
    </row>
    <row r="12" spans="1:4" x14ac:dyDescent="0.35">
      <c r="A12" t="s">
        <v>88</v>
      </c>
    </row>
    <row r="13" spans="1:4" x14ac:dyDescent="0.35">
      <c r="B13" s="50"/>
      <c r="C13" s="50"/>
      <c r="D13" s="50">
        <f>2174.991/3.2808^2</f>
        <v>202.06819014114527</v>
      </c>
    </row>
    <row r="14" spans="1:4" x14ac:dyDescent="0.35">
      <c r="B14" s="50">
        <f>2468.753/3.2808^2</f>
        <v>229.36023671616243</v>
      </c>
      <c r="C14" s="50"/>
      <c r="D14" s="50"/>
    </row>
    <row r="16" spans="1:4" x14ac:dyDescent="0.35">
      <c r="A16" t="s">
        <v>89</v>
      </c>
    </row>
    <row r="17" spans="1:6" x14ac:dyDescent="0.35">
      <c r="D17" s="50">
        <f>1081.514/3.2808^2</f>
        <v>100.47838202195345</v>
      </c>
    </row>
    <row r="18" spans="1:6" x14ac:dyDescent="0.35">
      <c r="B18" s="50">
        <f>1554.43/3.2808^2</f>
        <v>144.41478461340782</v>
      </c>
    </row>
    <row r="20" spans="1:6" x14ac:dyDescent="0.35">
      <c r="A20" t="s">
        <v>90</v>
      </c>
      <c r="D20" s="50"/>
    </row>
    <row r="21" spans="1:6" x14ac:dyDescent="0.35">
      <c r="D21" s="50">
        <f>368.745*2/3.2808^2</f>
        <v>68.516729286324974</v>
      </c>
    </row>
    <row r="22" spans="1:6" x14ac:dyDescent="0.35">
      <c r="B22" s="50">
        <f>1777.679/3.2808^2</f>
        <v>165.15579980879048</v>
      </c>
      <c r="D22" s="50"/>
    </row>
    <row r="24" spans="1:6" x14ac:dyDescent="0.35">
      <c r="A24" t="s">
        <v>91</v>
      </c>
      <c r="D24" s="50">
        <f>430.13/3.2808^2</f>
        <v>39.961356449479936</v>
      </c>
    </row>
    <row r="25" spans="1:6" x14ac:dyDescent="0.35">
      <c r="B25" s="50">
        <f>491.465/3.2808^2</f>
        <v>45.659702990825231</v>
      </c>
      <c r="D25" s="50"/>
    </row>
    <row r="27" spans="1:6" x14ac:dyDescent="0.35">
      <c r="A27" s="53" t="s">
        <v>92</v>
      </c>
      <c r="D27" s="50"/>
    </row>
    <row r="28" spans="1:6" x14ac:dyDescent="0.35">
      <c r="D28" s="50">
        <f>3536.297/3.2808^2</f>
        <v>328.54073170489517</v>
      </c>
    </row>
    <row r="29" spans="1:6" x14ac:dyDescent="0.35">
      <c r="B29" s="50">
        <f xml:space="preserve"> 4168.008/3.2808^2</f>
        <v>387.23003132142367</v>
      </c>
      <c r="D29" s="50"/>
    </row>
    <row r="30" spans="1:6" x14ac:dyDescent="0.35">
      <c r="B30" s="54"/>
      <c r="D30" s="54"/>
    </row>
    <row r="31" spans="1:6" x14ac:dyDescent="0.35">
      <c r="B31" s="50">
        <f>SUM(B10:B29)</f>
        <v>2236.3399071339436</v>
      </c>
      <c r="C31" s="50"/>
      <c r="D31" s="50">
        <f t="shared" ref="D31" si="1">SUM(D10:D29)</f>
        <v>1843.3359043574278</v>
      </c>
      <c r="F31" s="50">
        <f>B31+D31</f>
        <v>4079.6758114913714</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4"/>
  <sheetViews>
    <sheetView zoomScale="170" zoomScaleNormal="170" workbookViewId="0">
      <selection activeCell="D18" sqref="D18"/>
    </sheetView>
  </sheetViews>
  <sheetFormatPr defaultRowHeight="14.5" x14ac:dyDescent="0.35"/>
  <sheetData>
    <row r="1" spans="1:4" x14ac:dyDescent="0.35">
      <c r="B1" t="s">
        <v>95</v>
      </c>
    </row>
    <row r="2" spans="1:4" x14ac:dyDescent="0.35">
      <c r="A2">
        <v>1</v>
      </c>
      <c r="B2" s="116">
        <f>869.272/3.2808^2</f>
        <v>80.759975457541501</v>
      </c>
    </row>
    <row r="3" spans="1:4" x14ac:dyDescent="0.35">
      <c r="A3">
        <v>2</v>
      </c>
      <c r="B3" s="116">
        <f>1408.928/3.2808^2</f>
        <v>130.89687773383133</v>
      </c>
    </row>
    <row r="4" spans="1:4" x14ac:dyDescent="0.35">
      <c r="A4">
        <v>3</v>
      </c>
      <c r="B4" s="116">
        <f>2078.885/3.2808^2</f>
        <v>193.1394334328624</v>
      </c>
    </row>
    <row r="5" spans="1:4" x14ac:dyDescent="0.35">
      <c r="A5">
        <v>4</v>
      </c>
      <c r="B5" s="116">
        <f>2672.878/3.2808^2</f>
        <v>248.32453096499441</v>
      </c>
    </row>
    <row r="6" spans="1:4" x14ac:dyDescent="0.35">
      <c r="A6">
        <v>5</v>
      </c>
      <c r="B6" s="116">
        <f>3180.935/3.2808^2</f>
        <v>295.52571868418028</v>
      </c>
    </row>
    <row r="7" spans="1:4" x14ac:dyDescent="0.35">
      <c r="A7">
        <v>6</v>
      </c>
      <c r="B7" s="116">
        <f>3300.608/3.2808^2</f>
        <v>306.64397458443977</v>
      </c>
    </row>
    <row r="8" spans="1:4" x14ac:dyDescent="0.35">
      <c r="A8">
        <v>7</v>
      </c>
      <c r="B8" s="116">
        <f>3338.6312/3.2808^2</f>
        <v>310.17653136622636</v>
      </c>
    </row>
    <row r="9" spans="1:4" x14ac:dyDescent="0.35">
      <c r="A9">
        <v>8</v>
      </c>
      <c r="B9" s="116">
        <f>3301.234/3.2808^2</f>
        <v>306.70213330189114</v>
      </c>
    </row>
    <row r="10" spans="1:4" x14ac:dyDescent="0.35">
      <c r="A10">
        <v>9</v>
      </c>
      <c r="B10" s="116">
        <f>2497.3302/3.2808^2</f>
        <v>232.01521003940906</v>
      </c>
    </row>
    <row r="11" spans="1:4" x14ac:dyDescent="0.35">
      <c r="A11">
        <v>10</v>
      </c>
      <c r="B11" s="116">
        <f>2160.324/3.2808^2</f>
        <v>200.70554811421266</v>
      </c>
    </row>
    <row r="12" spans="1:4" x14ac:dyDescent="0.35">
      <c r="A12">
        <v>11</v>
      </c>
      <c r="B12" s="116">
        <f>1861.481/3.2808^2</f>
        <v>172.9414497127249</v>
      </c>
    </row>
    <row r="13" spans="1:4" x14ac:dyDescent="0.35">
      <c r="A13">
        <v>12</v>
      </c>
      <c r="B13" s="117">
        <f>1400.212/3.2808^2</f>
        <v>130.08711514388489</v>
      </c>
    </row>
    <row r="14" spans="1:4" x14ac:dyDescent="0.35">
      <c r="B14" s="50">
        <f>SUM(B2:B13)</f>
        <v>2607.9184985361985</v>
      </c>
      <c r="C14" t="s">
        <v>94</v>
      </c>
      <c r="D14" s="50">
        <f>B14*2</f>
        <v>5215.836997072397</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6"/>
  <sheetViews>
    <sheetView zoomScale="130" zoomScaleNormal="130" workbookViewId="0">
      <selection activeCell="B5" sqref="B5"/>
    </sheetView>
  </sheetViews>
  <sheetFormatPr defaultRowHeight="14.5" x14ac:dyDescent="0.35"/>
  <sheetData>
    <row r="1" spans="1:4" x14ac:dyDescent="0.35">
      <c r="A1" t="s">
        <v>93</v>
      </c>
      <c r="B1" s="50"/>
    </row>
    <row r="2" spans="1:4" x14ac:dyDescent="0.35">
      <c r="A2">
        <v>1</v>
      </c>
      <c r="B2" s="50">
        <f>1417.943/3.2808^2</f>
        <v>131.73441900831128</v>
      </c>
      <c r="D2" s="50"/>
    </row>
    <row r="3" spans="1:4" x14ac:dyDescent="0.35">
      <c r="A3">
        <v>2</v>
      </c>
      <c r="B3" s="50">
        <f>B2</f>
        <v>131.73441900831128</v>
      </c>
      <c r="D3" s="50"/>
    </row>
    <row r="4" spans="1:4" x14ac:dyDescent="0.35">
      <c r="A4">
        <v>3</v>
      </c>
      <c r="B4" s="50">
        <f>1588.966/3.2808^2</f>
        <v>147.62336203497625</v>
      </c>
      <c r="D4" s="50"/>
    </row>
    <row r="5" spans="1:4" x14ac:dyDescent="0.35">
      <c r="A5">
        <v>4</v>
      </c>
      <c r="B5" s="51">
        <f>B4</f>
        <v>147.62336203497625</v>
      </c>
      <c r="D5" s="50"/>
    </row>
    <row r="6" spans="1:4" x14ac:dyDescent="0.35">
      <c r="B6" s="50">
        <f>SUM(B2:B5)</f>
        <v>558.71556208657512</v>
      </c>
      <c r="C6" t="s">
        <v>94</v>
      </c>
      <c r="D6" s="50">
        <f>B6*2</f>
        <v>1117.4311241731502</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zoomScale="80" zoomScaleNormal="80" workbookViewId="0">
      <selection activeCell="C12" sqref="C12"/>
    </sheetView>
  </sheetViews>
  <sheetFormatPr defaultRowHeight="14.5" x14ac:dyDescent="0.35"/>
  <cols>
    <col min="2" max="2" width="24.1796875" customWidth="1"/>
    <col min="3" max="3" width="9.36328125" bestFit="1" customWidth="1"/>
    <col min="5" max="5" width="8.90625" style="13"/>
    <col min="6" max="6" width="17.81640625" customWidth="1"/>
    <col min="7" max="7" width="11.81640625" bestFit="1" customWidth="1"/>
    <col min="8" max="8" width="15.453125" customWidth="1"/>
    <col min="9" max="9" width="11.81640625" bestFit="1" customWidth="1"/>
    <col min="10" max="10" width="14.1796875" bestFit="1" customWidth="1"/>
    <col min="12" max="12" width="64.54296875" customWidth="1"/>
  </cols>
  <sheetData>
    <row r="1" spans="2:13" x14ac:dyDescent="0.35">
      <c r="B1" s="35" t="s">
        <v>60</v>
      </c>
      <c r="G1" s="112" t="s">
        <v>48</v>
      </c>
      <c r="H1" s="112"/>
      <c r="I1" s="112"/>
      <c r="J1" s="112"/>
    </row>
    <row r="2" spans="2:13" x14ac:dyDescent="0.35">
      <c r="G2" s="112" t="s">
        <v>12</v>
      </c>
      <c r="H2" s="112"/>
      <c r="I2" s="112"/>
      <c r="J2" s="112"/>
    </row>
    <row r="3" spans="2:13" x14ac:dyDescent="0.35">
      <c r="B3" s="1" t="s">
        <v>0</v>
      </c>
      <c r="C3" s="3">
        <v>6784</v>
      </c>
      <c r="D3" s="16" t="s">
        <v>18</v>
      </c>
      <c r="E3" s="14"/>
      <c r="G3" s="28" t="s">
        <v>11</v>
      </c>
      <c r="H3" s="28" t="s">
        <v>13</v>
      </c>
      <c r="I3" s="28" t="s">
        <v>14</v>
      </c>
      <c r="J3" s="28" t="s">
        <v>15</v>
      </c>
      <c r="L3" s="25"/>
    </row>
    <row r="4" spans="2:13" x14ac:dyDescent="0.35">
      <c r="B4" s="1" t="s">
        <v>1</v>
      </c>
      <c r="C4" s="3">
        <f>J16</f>
        <v>1717.7079999999999</v>
      </c>
      <c r="D4" s="16" t="s">
        <v>19</v>
      </c>
      <c r="E4" s="14"/>
      <c r="G4" s="28" t="s">
        <v>10</v>
      </c>
      <c r="H4" s="29">
        <v>755.25</v>
      </c>
      <c r="I4" s="29">
        <v>755.25</v>
      </c>
      <c r="J4" s="30">
        <f t="shared" ref="J4:J7" si="0">I4-H4</f>
        <v>0</v>
      </c>
      <c r="L4" s="25" t="s">
        <v>71</v>
      </c>
      <c r="M4" s="45"/>
    </row>
    <row r="5" spans="2:13" ht="15" thickBot="1" x14ac:dyDescent="0.4">
      <c r="B5" s="4" t="s">
        <v>2</v>
      </c>
      <c r="C5" s="36">
        <f>M7</f>
        <v>2525</v>
      </c>
      <c r="D5" s="16" t="s">
        <v>20</v>
      </c>
      <c r="E5" s="14"/>
      <c r="G5" s="28">
        <v>2</v>
      </c>
      <c r="H5" s="30">
        <v>532.16</v>
      </c>
      <c r="I5" s="30">
        <v>532.16</v>
      </c>
      <c r="J5" s="30">
        <f t="shared" si="0"/>
        <v>0</v>
      </c>
      <c r="L5" s="26"/>
      <c r="M5" s="16"/>
    </row>
    <row r="6" spans="2:13" ht="15" thickTop="1" x14ac:dyDescent="0.35">
      <c r="B6" s="6" t="s">
        <v>3</v>
      </c>
      <c r="C6" s="7">
        <f>SUM(C3:C5)</f>
        <v>11026.708000000001</v>
      </c>
      <c r="D6" s="17"/>
      <c r="E6" s="15"/>
      <c r="G6" s="28">
        <v>3</v>
      </c>
      <c r="H6" s="30">
        <v>1536.78</v>
      </c>
      <c r="I6" s="30">
        <v>1536.78</v>
      </c>
      <c r="J6" s="30">
        <f t="shared" si="0"/>
        <v>0</v>
      </c>
      <c r="L6" s="25" t="s">
        <v>57</v>
      </c>
      <c r="M6" s="42">
        <v>1570</v>
      </c>
    </row>
    <row r="7" spans="2:13" x14ac:dyDescent="0.35">
      <c r="G7" s="28">
        <v>4</v>
      </c>
      <c r="H7" s="31">
        <v>2371.46</v>
      </c>
      <c r="I7" s="31">
        <v>2371.46</v>
      </c>
      <c r="J7" s="30">
        <f t="shared" si="0"/>
        <v>0</v>
      </c>
      <c r="L7" s="25" t="s">
        <v>70</v>
      </c>
      <c r="M7" s="41">
        <v>2525</v>
      </c>
    </row>
    <row r="8" spans="2:13" x14ac:dyDescent="0.35">
      <c r="B8" s="1" t="s">
        <v>4</v>
      </c>
      <c r="C8" s="3">
        <f>H16</f>
        <v>18066.106</v>
      </c>
      <c r="D8" s="16" t="s">
        <v>21</v>
      </c>
      <c r="E8" s="14"/>
      <c r="G8" s="28">
        <v>5</v>
      </c>
      <c r="H8" s="31">
        <v>1565.028</v>
      </c>
      <c r="I8" s="31">
        <v>2682.7359999999999</v>
      </c>
      <c r="J8" s="30">
        <f>I8-H8</f>
        <v>1117.7079999999999</v>
      </c>
      <c r="K8" s="29"/>
      <c r="L8" s="25"/>
      <c r="M8" s="43"/>
    </row>
    <row r="9" spans="2:13" x14ac:dyDescent="0.35">
      <c r="B9" s="8" t="s">
        <v>5</v>
      </c>
      <c r="C9" s="38">
        <f>2*M10</f>
        <v>4624.34</v>
      </c>
      <c r="D9" s="16" t="s">
        <v>22</v>
      </c>
      <c r="E9" s="14"/>
      <c r="F9" t="s">
        <v>17</v>
      </c>
      <c r="G9" s="28">
        <v>6</v>
      </c>
      <c r="H9" s="40">
        <v>1080</v>
      </c>
      <c r="I9" s="30">
        <v>1680</v>
      </c>
      <c r="J9" s="30">
        <f>I9-H9</f>
        <v>600</v>
      </c>
      <c r="L9" s="25"/>
    </row>
    <row r="10" spans="2:13" ht="15" thickBot="1" x14ac:dyDescent="0.4">
      <c r="B10" s="9" t="s">
        <v>6</v>
      </c>
      <c r="C10" s="39">
        <f>2*M11</f>
        <v>1105.31</v>
      </c>
      <c r="D10" s="16" t="s">
        <v>23</v>
      </c>
      <c r="E10" s="14"/>
      <c r="F10" s="44"/>
      <c r="G10" s="28">
        <v>7</v>
      </c>
      <c r="H10" s="33">
        <f>[1]Deckhouse!D3</f>
        <v>706</v>
      </c>
      <c r="I10" s="30"/>
      <c r="J10" s="30"/>
      <c r="L10" s="27" t="s">
        <v>58</v>
      </c>
      <c r="M10" s="37">
        <v>2312.17</v>
      </c>
    </row>
    <row r="11" spans="2:13" ht="15" thickTop="1" x14ac:dyDescent="0.35">
      <c r="B11" s="10" t="s">
        <v>7</v>
      </c>
      <c r="C11" s="2">
        <f>SUM(C8:C10)</f>
        <v>23795.756000000001</v>
      </c>
      <c r="D11" s="16"/>
      <c r="E11" s="14"/>
      <c r="G11" s="28">
        <v>8</v>
      </c>
      <c r="H11" s="33">
        <f>[1]Deckhouse!D4</f>
        <v>481</v>
      </c>
      <c r="I11" s="30"/>
      <c r="J11" s="30"/>
      <c r="L11" s="25" t="s">
        <v>59</v>
      </c>
      <c r="M11" s="3">
        <v>552.65499999999997</v>
      </c>
    </row>
    <row r="12" spans="2:13" ht="15" thickBot="1" x14ac:dyDescent="0.4">
      <c r="B12" s="4" t="s">
        <v>8</v>
      </c>
      <c r="C12" s="5">
        <f>C3</f>
        <v>6784</v>
      </c>
      <c r="D12" s="16" t="s">
        <v>24</v>
      </c>
      <c r="E12" s="14"/>
      <c r="G12" s="28">
        <v>9</v>
      </c>
      <c r="H12" s="33">
        <f>[1]Deckhouse!D5</f>
        <v>232</v>
      </c>
      <c r="I12" s="30"/>
      <c r="J12" s="30"/>
      <c r="L12" s="25"/>
    </row>
    <row r="13" spans="2:13" ht="15" thickTop="1" x14ac:dyDescent="0.35">
      <c r="B13" s="11" t="s">
        <v>9</v>
      </c>
      <c r="C13" s="12">
        <f>SUM(C11:C12)</f>
        <v>30579.756000000001</v>
      </c>
      <c r="D13" s="17"/>
      <c r="E13" s="15"/>
      <c r="G13" s="28">
        <v>10</v>
      </c>
      <c r="H13" s="33">
        <f>[1]Deckhouse!D6</f>
        <v>102</v>
      </c>
      <c r="I13" s="30"/>
      <c r="J13" s="30"/>
      <c r="L13" s="25"/>
    </row>
    <row r="14" spans="2:13" x14ac:dyDescent="0.35">
      <c r="G14" s="28">
        <v>11</v>
      </c>
      <c r="H14" s="34">
        <f>[1]Deckhouse!D7</f>
        <v>49</v>
      </c>
      <c r="I14" s="30"/>
      <c r="J14" s="30"/>
      <c r="L14" s="25"/>
    </row>
    <row r="15" spans="2:13" ht="15" thickBot="1" x14ac:dyDescent="0.4"/>
    <row r="16" spans="2:13" x14ac:dyDescent="0.35">
      <c r="G16" t="s">
        <v>16</v>
      </c>
      <c r="H16" s="32">
        <f>SUM(H5:H14)*2+H4</f>
        <v>18066.106</v>
      </c>
      <c r="J16" s="18">
        <f>SUM(J4:J14)</f>
        <v>1717.7079999999999</v>
      </c>
      <c r="L16" s="1"/>
    </row>
    <row r="17" spans="1:12" ht="18.649999999999999" customHeight="1" thickBot="1" x14ac:dyDescent="0.4">
      <c r="H17" s="19" t="s">
        <v>21</v>
      </c>
      <c r="J17" s="19" t="s">
        <v>19</v>
      </c>
    </row>
    <row r="18" spans="1:12" s="13" customFormat="1" ht="15" hidden="1" thickBot="1" x14ac:dyDescent="0.4"/>
    <row r="19" spans="1:12" ht="15" hidden="1" thickBot="1" x14ac:dyDescent="0.4">
      <c r="A19" s="95" t="s">
        <v>26</v>
      </c>
      <c r="B19" s="96"/>
      <c r="C19" s="96"/>
      <c r="D19" s="97"/>
    </row>
    <row r="20" spans="1:12" ht="29" x14ac:dyDescent="0.35">
      <c r="A20">
        <v>1</v>
      </c>
      <c r="B20" s="23" t="s">
        <v>27</v>
      </c>
      <c r="F20" s="20" t="s">
        <v>18</v>
      </c>
      <c r="G20" s="98" t="s">
        <v>25</v>
      </c>
      <c r="H20" s="98"/>
      <c r="I20" s="98"/>
      <c r="J20" s="98"/>
      <c r="K20" s="98"/>
      <c r="L20" s="99"/>
    </row>
    <row r="21" spans="1:12" ht="51.5" customHeight="1" x14ac:dyDescent="0.35">
      <c r="A21">
        <v>2</v>
      </c>
      <c r="B21" s="23" t="s">
        <v>28</v>
      </c>
      <c r="F21" s="21" t="s">
        <v>19</v>
      </c>
      <c r="G21" s="100" t="s">
        <v>49</v>
      </c>
      <c r="H21" s="100"/>
      <c r="I21" s="100"/>
      <c r="J21" s="100"/>
      <c r="K21" s="100"/>
      <c r="L21" s="101"/>
    </row>
    <row r="22" spans="1:12" ht="48" customHeight="1" x14ac:dyDescent="0.35">
      <c r="A22">
        <v>3</v>
      </c>
      <c r="B22" t="s">
        <v>29</v>
      </c>
      <c r="F22" s="21" t="s">
        <v>20</v>
      </c>
      <c r="G22" s="100" t="s">
        <v>56</v>
      </c>
      <c r="H22" s="100"/>
      <c r="I22" s="100"/>
      <c r="J22" s="100"/>
      <c r="K22" s="100"/>
      <c r="L22" s="101"/>
    </row>
    <row r="23" spans="1:12" ht="63.75" customHeight="1" x14ac:dyDescent="0.35">
      <c r="A23">
        <v>4</v>
      </c>
      <c r="B23" t="s">
        <v>31</v>
      </c>
      <c r="F23" s="21" t="s">
        <v>21</v>
      </c>
      <c r="G23" s="100" t="s">
        <v>51</v>
      </c>
      <c r="H23" s="100"/>
      <c r="I23" s="100"/>
      <c r="J23" s="100"/>
      <c r="K23" s="100"/>
      <c r="L23" s="101"/>
    </row>
    <row r="24" spans="1:12" ht="32.5" customHeight="1" x14ac:dyDescent="0.35">
      <c r="A24">
        <v>5</v>
      </c>
      <c r="B24" t="s">
        <v>32</v>
      </c>
      <c r="F24" s="21" t="s">
        <v>22</v>
      </c>
      <c r="G24" s="100" t="s">
        <v>52</v>
      </c>
      <c r="H24" s="100"/>
      <c r="I24" s="100"/>
      <c r="J24" s="100"/>
      <c r="K24" s="100"/>
      <c r="L24" s="101"/>
    </row>
    <row r="25" spans="1:12" ht="29" x14ac:dyDescent="0.35">
      <c r="A25">
        <v>6</v>
      </c>
      <c r="B25" s="23" t="s">
        <v>33</v>
      </c>
      <c r="F25" s="21" t="s">
        <v>23</v>
      </c>
      <c r="G25" s="100" t="s">
        <v>53</v>
      </c>
      <c r="H25" s="100"/>
      <c r="I25" s="100"/>
      <c r="J25" s="100"/>
      <c r="K25" s="100"/>
      <c r="L25" s="101"/>
    </row>
    <row r="26" spans="1:12" ht="15" thickBot="1" x14ac:dyDescent="0.4">
      <c r="A26">
        <v>7</v>
      </c>
      <c r="B26" t="s">
        <v>34</v>
      </c>
      <c r="F26" s="22" t="s">
        <v>24</v>
      </c>
      <c r="G26" s="107" t="s">
        <v>54</v>
      </c>
      <c r="H26" s="107"/>
      <c r="I26" s="107"/>
      <c r="J26" s="107"/>
      <c r="K26" s="107"/>
      <c r="L26" s="108"/>
    </row>
    <row r="27" spans="1:12" ht="73.5" customHeight="1" thickBot="1" x14ac:dyDescent="0.4">
      <c r="A27">
        <v>8</v>
      </c>
      <c r="B27" s="23" t="s">
        <v>36</v>
      </c>
      <c r="F27" s="24" t="s">
        <v>48</v>
      </c>
      <c r="G27" s="109" t="s">
        <v>55</v>
      </c>
      <c r="H27" s="110"/>
      <c r="I27" s="110"/>
      <c r="J27" s="110"/>
      <c r="K27" s="110"/>
      <c r="L27" s="111"/>
    </row>
    <row r="28" spans="1:12" ht="29" x14ac:dyDescent="0.35">
      <c r="A28">
        <v>9</v>
      </c>
      <c r="B28" s="23" t="s">
        <v>35</v>
      </c>
    </row>
    <row r="29" spans="1:12" x14ac:dyDescent="0.35">
      <c r="A29">
        <v>10</v>
      </c>
      <c r="B29" t="s">
        <v>37</v>
      </c>
    </row>
    <row r="30" spans="1:12" ht="29" x14ac:dyDescent="0.35">
      <c r="A30">
        <v>11</v>
      </c>
      <c r="B30" s="23" t="s">
        <v>38</v>
      </c>
    </row>
    <row r="31" spans="1:12" ht="29" x14ac:dyDescent="0.35">
      <c r="A31">
        <v>12</v>
      </c>
      <c r="B31" s="23" t="s">
        <v>39</v>
      </c>
    </row>
    <row r="32" spans="1:12" ht="29" x14ac:dyDescent="0.35">
      <c r="A32">
        <v>13</v>
      </c>
      <c r="B32" s="23" t="s">
        <v>40</v>
      </c>
    </row>
    <row r="33" spans="1:2" x14ac:dyDescent="0.35">
      <c r="A33">
        <v>14</v>
      </c>
      <c r="B33" s="23" t="s">
        <v>41</v>
      </c>
    </row>
    <row r="34" spans="1:2" x14ac:dyDescent="0.35">
      <c r="A34">
        <v>15</v>
      </c>
      <c r="B34" s="23" t="s">
        <v>42</v>
      </c>
    </row>
    <row r="35" spans="1:2" ht="29" x14ac:dyDescent="0.35">
      <c r="A35">
        <v>16</v>
      </c>
      <c r="B35" s="23" t="s">
        <v>43</v>
      </c>
    </row>
    <row r="36" spans="1:2" ht="43.5" x14ac:dyDescent="0.35">
      <c r="A36">
        <v>17</v>
      </c>
      <c r="B36" s="23" t="s">
        <v>44</v>
      </c>
    </row>
    <row r="37" spans="1:2" ht="47.15" customHeight="1" x14ac:dyDescent="0.35">
      <c r="A37">
        <v>18</v>
      </c>
      <c r="B37" s="23" t="s">
        <v>45</v>
      </c>
    </row>
    <row r="38" spans="1:2" ht="29" x14ac:dyDescent="0.35">
      <c r="A38">
        <v>19</v>
      </c>
      <c r="B38" s="23" t="s">
        <v>46</v>
      </c>
    </row>
    <row r="39" spans="1:2" x14ac:dyDescent="0.35">
      <c r="A39">
        <v>20</v>
      </c>
      <c r="B39" s="23" t="s">
        <v>30</v>
      </c>
    </row>
    <row r="40" spans="1:2" ht="29" x14ac:dyDescent="0.35">
      <c r="A40">
        <v>21</v>
      </c>
      <c r="B40" s="23" t="s">
        <v>47</v>
      </c>
    </row>
    <row r="41" spans="1:2" ht="43.5" x14ac:dyDescent="0.35">
      <c r="A41">
        <v>22</v>
      </c>
      <c r="B41" s="23" t="s">
        <v>50</v>
      </c>
    </row>
  </sheetData>
  <mergeCells count="11">
    <mergeCell ref="G22:L22"/>
    <mergeCell ref="G1:J1"/>
    <mergeCell ref="G2:J2"/>
    <mergeCell ref="A19:D19"/>
    <mergeCell ref="G20:L20"/>
    <mergeCell ref="G21:L21"/>
    <mergeCell ref="G23:L23"/>
    <mergeCell ref="G24:L24"/>
    <mergeCell ref="G25:L25"/>
    <mergeCell ref="G26:L26"/>
    <mergeCell ref="G27:L2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SHP0073</vt:lpstr>
      <vt:lpstr>External Hull</vt:lpstr>
      <vt:lpstr>Weather Dk</vt:lpstr>
      <vt:lpstr>Dk Hs External</vt:lpstr>
      <vt:lpstr>Inner Dks</vt:lpstr>
      <vt:lpstr>DH Inner Dks</vt:lpstr>
      <vt:lpstr>TBHDs</vt:lpstr>
      <vt:lpstr>LBHDs</vt:lpstr>
      <vt:lpstr>SHP0078Ref</vt:lpstr>
      <vt:lpstr>SHP0078ARef</vt:lpstr>
      <vt:lpstr>SHP68 Deckhouse Values</vt:lpstr>
    </vt:vector>
  </TitlesOfParts>
  <Company>HPES NMCI NGEN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Platenberg, Drake M CIV USN NSWC CRD BDA MD (USA)</dc:creator>
  <cp:lastModifiedBy>Naughton, Patrick</cp:lastModifiedBy>
  <dcterms:created xsi:type="dcterms:W3CDTF">2020-03-25T15:44:45Z</dcterms:created>
  <dcterms:modified xsi:type="dcterms:W3CDTF">2020-11-09T21:00:17Z</dcterms:modified>
</cp:coreProperties>
</file>